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ksulu\Desktop\Vanja_final works\"/>
    </mc:Choice>
  </mc:AlternateContent>
  <xr:revisionPtr revIDLastSave="0" documentId="8_{BD71404C-5FB0-498E-AA6D-B46E7AC6DF2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Profit and Loss - sand and clay" sheetId="1" r:id="rId1"/>
    <sheet name="Total cost dredging &amp; disposal " sheetId="16" r:id="rId2"/>
    <sheet name="Assumptions" sheetId="2" r:id="rId3"/>
    <sheet name="Disposal facilities" sheetId="17" r:id="rId4"/>
    <sheet name="Benefits from irrigation" sheetId="18" r:id="rId5"/>
  </sheets>
  <definedNames>
    <definedName name="arbres">Assumptions!#REF!</definedName>
    <definedName name="arbresSQ">Assumptions!#REF!</definedName>
    <definedName name="CDF">Assumptions!#REF!</definedName>
    <definedName name="dredging">Assumptions!$C$50</definedName>
    <definedName name="eqip">Assumptions!#REF!</definedName>
    <definedName name="ferGDT">Assumptions!#REF!</definedName>
    <definedName name="ferSQ">Assumptions!#REF!</definedName>
    <definedName name="FLC">Assumptions!#REF!</definedName>
    <definedName name="maxproc">Assumptions!$C$61</definedName>
    <definedName name="npv_10">#REF!</definedName>
    <definedName name="npv_10f">'Profit and Loss - sand and clay'!#REF!</definedName>
    <definedName name="npv_30">#REF!</definedName>
    <definedName name="npv_30f">'Profit and Loss - sand and clay'!#REF!</definedName>
    <definedName name="pesGDT">Assumptions!#REF!</definedName>
    <definedName name="pesSQ">Assumptions!#REF!</definedName>
    <definedName name="Price">Assumptions!$C$41</definedName>
    <definedName name="prix">Assumptions!#REF!</definedName>
    <definedName name="prixf">Assumptions!#REF!</definedName>
    <definedName name="prixff">Assumptions!#REF!</definedName>
    <definedName name="S_Price">Assumptions!$C$41</definedName>
    <definedName name="sem">Assumptions!#REF!</definedName>
    <definedName name="trans">Assumptions!#REF!</definedName>
    <definedName name="tree">Assumptions!#REF!</definedName>
    <definedName name="Yield">Assumptions!$H$60</definedName>
    <definedName name="_xlnm.Print_Area" localSheetId="2">Assumptions!$A$1:$K$43</definedName>
    <definedName name="_xlnm.Print_Area" localSheetId="0">'Profit and Loss - sand and clay'!$C$1:$I$47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18" l="1"/>
  <c r="F3" i="18"/>
  <c r="G3" i="18" s="1"/>
  <c r="E3" i="18"/>
  <c r="H3" i="18" s="1"/>
  <c r="J3" i="18" s="1"/>
  <c r="I2" i="18"/>
  <c r="F2" i="18"/>
  <c r="G2" i="18" s="1"/>
  <c r="E2" i="18"/>
  <c r="H2" i="18" s="1"/>
  <c r="J2" i="18" s="1"/>
  <c r="H61" i="2" l="1"/>
  <c r="B31" i="2"/>
  <c r="B69" i="2" l="1"/>
  <c r="B68" i="2"/>
  <c r="C5" i="16" l="1"/>
  <c r="B54" i="2"/>
  <c r="B23" i="2"/>
  <c r="D7" i="1" s="1"/>
  <c r="O71" i="17"/>
  <c r="B56" i="2" s="1"/>
  <c r="L71" i="17"/>
  <c r="B53" i="2" s="1"/>
  <c r="B55" i="2" s="1"/>
  <c r="P71" i="17" l="1"/>
  <c r="C53" i="2"/>
  <c r="B57" i="2"/>
  <c r="C15" i="16" s="1"/>
  <c r="D23" i="2" l="1"/>
  <c r="D14" i="16" l="1"/>
  <c r="E20" i="1" s="1"/>
  <c r="E14" i="16" l="1"/>
  <c r="F20" i="1" s="1"/>
  <c r="G14" i="16"/>
  <c r="H20" i="1" s="1"/>
  <c r="F14" i="16"/>
  <c r="G20" i="1" s="1"/>
  <c r="C14" i="16"/>
  <c r="D20" i="1" s="1"/>
  <c r="C55" i="2"/>
  <c r="C13" i="16" s="1"/>
  <c r="D15" i="16" l="1"/>
  <c r="G21" i="1"/>
  <c r="E21" i="1"/>
  <c r="F21" i="1"/>
  <c r="H21" i="1"/>
  <c r="D21" i="1"/>
  <c r="F15" i="16"/>
  <c r="E15" i="16"/>
  <c r="G15" i="16"/>
  <c r="D13" i="16"/>
  <c r="F13" i="16"/>
  <c r="E13" i="16"/>
  <c r="G13" i="16"/>
  <c r="C65" i="2"/>
  <c r="C64" i="2"/>
  <c r="D64" i="2" s="1"/>
  <c r="K57" i="17"/>
  <c r="K3" i="17"/>
  <c r="C40" i="2" l="1"/>
  <c r="E64" i="2"/>
  <c r="B39" i="2" l="1"/>
  <c r="E41" i="1" l="1"/>
  <c r="F41" i="1" s="1"/>
  <c r="G41" i="1" s="1"/>
  <c r="H41" i="1" s="1"/>
  <c r="D24" i="2"/>
  <c r="H8" i="1" s="1"/>
  <c r="H14" i="1" s="1"/>
  <c r="C24" i="2"/>
  <c r="E8" i="1" s="1"/>
  <c r="E14" i="1" s="1"/>
  <c r="B24" i="2"/>
  <c r="D8" i="1" s="1"/>
  <c r="D14" i="1" s="1"/>
  <c r="D13" i="1" l="1"/>
  <c r="F8" i="1"/>
  <c r="F14" i="1" s="1"/>
  <c r="G8" i="1"/>
  <c r="G14" i="1" s="1"/>
  <c r="K19" i="17"/>
  <c r="K51" i="17"/>
  <c r="K49" i="17"/>
  <c r="K47" i="17"/>
  <c r="K53" i="17"/>
  <c r="K55" i="17"/>
  <c r="K5" i="17"/>
  <c r="K7" i="17"/>
  <c r="K9" i="17"/>
  <c r="K11" i="17"/>
  <c r="K13" i="17"/>
  <c r="K15" i="17"/>
  <c r="K17" i="17"/>
  <c r="K21" i="17"/>
  <c r="K23" i="17"/>
  <c r="K25" i="17"/>
  <c r="K27" i="17"/>
  <c r="K29" i="17"/>
  <c r="K31" i="17"/>
  <c r="K33" i="17"/>
  <c r="K35" i="17"/>
  <c r="K37" i="17"/>
  <c r="K39" i="17"/>
  <c r="K41" i="17"/>
  <c r="K43" i="17"/>
  <c r="K45" i="17"/>
  <c r="K59" i="17"/>
  <c r="K61" i="17"/>
  <c r="K63" i="17"/>
  <c r="K65" i="17"/>
  <c r="K67" i="17"/>
  <c r="K69" i="17"/>
  <c r="G5" i="17"/>
  <c r="G7" i="17"/>
  <c r="G9" i="17"/>
  <c r="G11" i="17"/>
  <c r="G13" i="17"/>
  <c r="G15" i="17"/>
  <c r="G17" i="17"/>
  <c r="G19" i="17"/>
  <c r="G21" i="17"/>
  <c r="G23" i="17"/>
  <c r="G25" i="17"/>
  <c r="G27" i="17"/>
  <c r="G29" i="17"/>
  <c r="G31" i="17"/>
  <c r="G33" i="17"/>
  <c r="G35" i="17"/>
  <c r="G37" i="17"/>
  <c r="G39" i="17"/>
  <c r="G41" i="17"/>
  <c r="G43" i="17"/>
  <c r="G45" i="17"/>
  <c r="G47" i="17"/>
  <c r="G49" i="17"/>
  <c r="G51" i="17"/>
  <c r="G53" i="17"/>
  <c r="G55" i="17"/>
  <c r="G57" i="17"/>
  <c r="L57" i="17" s="1"/>
  <c r="G59" i="17"/>
  <c r="G61" i="17"/>
  <c r="G63" i="17"/>
  <c r="G65" i="17"/>
  <c r="G67" i="17"/>
  <c r="G69" i="17"/>
  <c r="G3" i="17"/>
  <c r="L3" i="17" s="1"/>
  <c r="P3" i="17" s="1"/>
  <c r="G5" i="16"/>
  <c r="G9" i="16" s="1"/>
  <c r="F5" i="16"/>
  <c r="F9" i="16" s="1"/>
  <c r="E5" i="16"/>
  <c r="E9" i="16" s="1"/>
  <c r="D5" i="16"/>
  <c r="D9" i="16" s="1"/>
  <c r="C9" i="16"/>
  <c r="C23" i="2"/>
  <c r="D2" i="16"/>
  <c r="E2" i="16" s="1"/>
  <c r="F2" i="16" s="1"/>
  <c r="G2" i="16" s="1"/>
  <c r="B70" i="2"/>
  <c r="L53" i="17" l="1"/>
  <c r="P53" i="17" s="1"/>
  <c r="C18" i="16"/>
  <c r="D32" i="1" s="1"/>
  <c r="G28" i="1"/>
  <c r="D28" i="1"/>
  <c r="D29" i="1" s="1"/>
  <c r="F15" i="1"/>
  <c r="H15" i="1"/>
  <c r="G15" i="1"/>
  <c r="E15" i="1"/>
  <c r="L19" i="17"/>
  <c r="P19" i="17" s="1"/>
  <c r="G7" i="1"/>
  <c r="H7" i="1"/>
  <c r="F7" i="1"/>
  <c r="E7" i="1"/>
  <c r="E13" i="1" s="1"/>
  <c r="L11" i="17"/>
  <c r="P11" i="17" s="1"/>
  <c r="L9" i="17"/>
  <c r="P9" i="17" s="1"/>
  <c r="L67" i="17"/>
  <c r="P67" i="17" s="1"/>
  <c r="L59" i="17"/>
  <c r="P59" i="17" s="1"/>
  <c r="L47" i="17"/>
  <c r="P47" i="17" s="1"/>
  <c r="L13" i="17"/>
  <c r="P13" i="17" s="1"/>
  <c r="L55" i="17"/>
  <c r="P55" i="17" s="1"/>
  <c r="L51" i="17"/>
  <c r="P51" i="17" s="1"/>
  <c r="L43" i="17"/>
  <c r="P43" i="17" s="1"/>
  <c r="L45" i="17"/>
  <c r="P45" i="17" s="1"/>
  <c r="L41" i="17"/>
  <c r="P41" i="17" s="1"/>
  <c r="L37" i="17"/>
  <c r="P37" i="17" s="1"/>
  <c r="L33" i="17"/>
  <c r="P33" i="17" s="1"/>
  <c r="L29" i="17"/>
  <c r="P29" i="17" s="1"/>
  <c r="L25" i="17"/>
  <c r="P25" i="17" s="1"/>
  <c r="L21" i="17"/>
  <c r="P21" i="17" s="1"/>
  <c r="L65" i="17"/>
  <c r="P65" i="17" s="1"/>
  <c r="L69" i="17"/>
  <c r="P69" i="17" s="1"/>
  <c r="L61" i="17"/>
  <c r="P61" i="17" s="1"/>
  <c r="P57" i="17"/>
  <c r="L49" i="17"/>
  <c r="P49" i="17" s="1"/>
  <c r="L35" i="17"/>
  <c r="P35" i="17" s="1"/>
  <c r="L27" i="17"/>
  <c r="P27" i="17" s="1"/>
  <c r="L7" i="17"/>
  <c r="P7" i="17" s="1"/>
  <c r="L17" i="17"/>
  <c r="P17" i="17" s="1"/>
  <c r="L63" i="17"/>
  <c r="P63" i="17" s="1"/>
  <c r="L15" i="17"/>
  <c r="P15" i="17" s="1"/>
  <c r="L5" i="17"/>
  <c r="P5" i="17" s="1"/>
  <c r="L39" i="17"/>
  <c r="P39" i="17" s="1"/>
  <c r="L31" i="17"/>
  <c r="P31" i="17" s="1"/>
  <c r="L23" i="17"/>
  <c r="P23" i="17" s="1"/>
  <c r="F28" i="1"/>
  <c r="E28" i="1"/>
  <c r="H28" i="1"/>
  <c r="G29" i="1" l="1"/>
  <c r="H29" i="1"/>
  <c r="F29" i="1"/>
  <c r="E29" i="1"/>
  <c r="D15" i="1"/>
  <c r="L72" i="17"/>
  <c r="P72" i="17"/>
  <c r="H13" i="1"/>
  <c r="G13" i="1"/>
  <c r="F13" i="1"/>
  <c r="B6" i="2"/>
  <c r="B4" i="2"/>
  <c r="B36" i="2"/>
  <c r="C37" i="2"/>
  <c r="C46" i="2" l="1"/>
  <c r="B32" i="2"/>
  <c r="D12" i="16"/>
  <c r="E18" i="1" s="1"/>
  <c r="C12" i="16"/>
  <c r="D18" i="1" s="1"/>
  <c r="E12" i="16"/>
  <c r="F18" i="1" s="1"/>
  <c r="F12" i="16"/>
  <c r="G18" i="1" s="1"/>
  <c r="G12" i="16"/>
  <c r="H18" i="1" s="1"/>
  <c r="C61" i="2"/>
  <c r="D24" i="1" s="1"/>
  <c r="D25" i="1" s="1"/>
  <c r="D33" i="1" s="1"/>
  <c r="B61" i="2"/>
  <c r="C44" i="2"/>
  <c r="D18" i="16" l="1"/>
  <c r="F18" i="16"/>
  <c r="E18" i="16"/>
  <c r="H24" i="1"/>
  <c r="H25" i="1" s="1"/>
  <c r="E24" i="1"/>
  <c r="G24" i="1"/>
  <c r="F24" i="1"/>
  <c r="C36" i="2"/>
  <c r="C38" i="2" s="1"/>
  <c r="C39" i="2"/>
  <c r="F25" i="1" l="1"/>
  <c r="F33" i="1" s="1"/>
  <c r="G25" i="1"/>
  <c r="G33" i="1" s="1"/>
  <c r="E25" i="1"/>
  <c r="E33" i="1" s="1"/>
  <c r="G19" i="1"/>
  <c r="G18" i="16"/>
  <c r="H32" i="1" s="1"/>
  <c r="H33" i="1"/>
  <c r="G32" i="1"/>
  <c r="F19" i="1"/>
  <c r="E6" i="1"/>
  <c r="D6" i="1"/>
  <c r="H6" i="1"/>
  <c r="F6" i="1"/>
  <c r="G6" i="1"/>
  <c r="F32" i="1"/>
  <c r="E19" i="1"/>
  <c r="E32" i="1"/>
  <c r="D19" i="1"/>
  <c r="C41" i="2"/>
  <c r="B65" i="2"/>
  <c r="D65" i="2" s="1"/>
  <c r="E65" i="2" s="1"/>
  <c r="H2" i="2"/>
  <c r="E2" i="1"/>
  <c r="F2" i="1" s="1"/>
  <c r="G2" i="1" s="1"/>
  <c r="H2" i="1" s="1"/>
  <c r="K1" i="2"/>
  <c r="D9" i="1" l="1"/>
  <c r="D37" i="1" s="1"/>
  <c r="D42" i="1" s="1"/>
  <c r="E5" i="1"/>
  <c r="D5" i="1"/>
  <c r="D34" i="1"/>
  <c r="E34" i="1"/>
  <c r="F34" i="1"/>
  <c r="H19" i="1"/>
  <c r="G34" i="1"/>
  <c r="E9" i="1"/>
  <c r="E39" i="1" s="1"/>
  <c r="F9" i="1"/>
  <c r="F39" i="1" s="1"/>
  <c r="H9" i="1"/>
  <c r="G9" i="1"/>
  <c r="G39" i="1" s="1"/>
  <c r="G5" i="1"/>
  <c r="H5" i="1"/>
  <c r="F5" i="1"/>
  <c r="D39" i="1" l="1"/>
  <c r="D38" i="1"/>
  <c r="H37" i="1"/>
  <c r="H39" i="1"/>
  <c r="F37" i="1"/>
  <c r="E37" i="1"/>
  <c r="G37" i="1"/>
  <c r="H34" i="1"/>
  <c r="G42" i="1" l="1"/>
  <c r="G38" i="1"/>
  <c r="H42" i="1"/>
  <c r="H38" i="1"/>
  <c r="E42" i="1"/>
  <c r="E38" i="1"/>
  <c r="F42" i="1"/>
  <c r="F38" i="1"/>
</calcChain>
</file>

<file path=xl/sharedStrings.xml><?xml version="1.0" encoding="utf-8"?>
<sst xmlns="http://schemas.openxmlformats.org/spreadsheetml/2006/main" count="516" uniqueCount="250">
  <si>
    <t xml:space="preserve"> </t>
  </si>
  <si>
    <t>Annual increase in crop revenue (year 0-4)</t>
  </si>
  <si>
    <t xml:space="preserve">FMNR+ scenario </t>
  </si>
  <si>
    <t>YEAR</t>
  </si>
  <si>
    <t>Prices</t>
  </si>
  <si>
    <t xml:space="preserve">Sand </t>
  </si>
  <si>
    <t>7 m3 truck</t>
  </si>
  <si>
    <t>1 m3=1.8 tonnes</t>
  </si>
  <si>
    <t>Davlatov</t>
  </si>
  <si>
    <t>Source</t>
  </si>
  <si>
    <t>Assumptions</t>
  </si>
  <si>
    <t>550,000 for a truckload of 7m3</t>
  </si>
  <si>
    <t>Clay sand</t>
  </si>
  <si>
    <t>1070000 for a truckload of 8-9 m3</t>
  </si>
  <si>
    <t>Pesok</t>
  </si>
  <si>
    <t>Convesion factors</t>
  </si>
  <si>
    <t>Processing costs</t>
  </si>
  <si>
    <t>SOM</t>
  </si>
  <si>
    <t>USD</t>
  </si>
  <si>
    <t>Indexbox.io</t>
  </si>
  <si>
    <t>https://www.indexbox.io/store/world-silica-sands-quartz-sands-or-industrial-sands-market-analysis-forecast-size-trends-and-insights/#:~:text=What%20is%20the%20average%20export,3.8%25%20against%20the%20previous%20year.</t>
  </si>
  <si>
    <t>Link</t>
  </si>
  <si>
    <t>1 ton=0.56 m3</t>
  </si>
  <si>
    <t>Notes</t>
  </si>
  <si>
    <t>https://nuntioz.com/price-sand-gravel/</t>
  </si>
  <si>
    <t>20 to 60 euros for a ton of sand, pending on quality</t>
  </si>
  <si>
    <t>Cumulative price increase from 1977 to 2022 in USD</t>
  </si>
  <si>
    <t xml:space="preserve">Prices are higher by a factor of </t>
  </si>
  <si>
    <t xml:space="preserve">Confined Disposal Facilities (CDF) in the Slufter (NL), </t>
  </si>
  <si>
    <t>Sand</t>
  </si>
  <si>
    <t>Fraction</t>
  </si>
  <si>
    <t>Capital dredging (m3 / year)</t>
  </si>
  <si>
    <t>Material extracted</t>
  </si>
  <si>
    <t>Maintenance dredging (m3 / year), year 1-5</t>
  </si>
  <si>
    <t>Sand and loam processing cost USD per m3</t>
  </si>
  <si>
    <t>Sand and loam processing cost USD per ton</t>
  </si>
  <si>
    <t>Maximum (USD)</t>
  </si>
  <si>
    <t>Minimum (USD)</t>
  </si>
  <si>
    <t>Sand processing capacity in tons</t>
  </si>
  <si>
    <t>CDE processing plant in Australia</t>
  </si>
  <si>
    <t>Capacity (tons/m3)</t>
  </si>
  <si>
    <t>Annual capacity (m3)</t>
  </si>
  <si>
    <t>Interest rate</t>
  </si>
  <si>
    <t>Transportation costs</t>
  </si>
  <si>
    <t>Souce</t>
  </si>
  <si>
    <t>quarrymagazine.com/2019/12/04/cost-estimates-revealed-for-sand-processing-plant</t>
  </si>
  <si>
    <t>Transportation cost ($/m3)</t>
  </si>
  <si>
    <t>Average annual inflation rate 1977 to 2022</t>
  </si>
  <si>
    <t>3.59% per annum</t>
  </si>
  <si>
    <t>1 m3=1.400 tonnes</t>
  </si>
  <si>
    <t xml:space="preserve">Supply </t>
  </si>
  <si>
    <t>Clay sand (m3)</t>
  </si>
  <si>
    <t>Washed silica sand (ton)</t>
  </si>
  <si>
    <t>Average ($/m3)</t>
  </si>
  <si>
    <t>Costs</t>
  </si>
  <si>
    <t>Tuyamuyun - Bukhara / Navoie (350 km)</t>
  </si>
  <si>
    <t>Washed silica sand (m3)</t>
  </si>
  <si>
    <t>Prices, domestic market</t>
  </si>
  <si>
    <t>Prices, international market</t>
  </si>
  <si>
    <t>Gross income</t>
  </si>
  <si>
    <t>Drediging costs</t>
  </si>
  <si>
    <t xml:space="preserve">Cost (USD/m3 dredged) </t>
  </si>
  <si>
    <t>Maintenance dreding, year 1-5</t>
  </si>
  <si>
    <t>Dredging cost</t>
  </si>
  <si>
    <t>Sand processing capacity in m3</t>
  </si>
  <si>
    <t>Production of sand (m3)</t>
  </si>
  <si>
    <t>Transportation cost</t>
  </si>
  <si>
    <t xml:space="preserve">Tuyamuyun </t>
  </si>
  <si>
    <t>$17 for a truck-load of 8-9 m3 of sand for 100 km</t>
  </si>
  <si>
    <t>Tuyamuyun - Urgench (100 km)</t>
  </si>
  <si>
    <t>Processing cost ($/m3)</t>
  </si>
  <si>
    <t>Construction cost ($/m3)</t>
  </si>
  <si>
    <t>Total dredging cost - sand only</t>
  </si>
  <si>
    <t>Total dredging cost - all sediments</t>
  </si>
  <si>
    <t>Total cost</t>
  </si>
  <si>
    <t>Confined disposal facility for sand</t>
  </si>
  <si>
    <t>Sediment loads dredged (m3, 1st year)</t>
  </si>
  <si>
    <t>Sediment loads dredged (m3), 2-3rd  year</t>
  </si>
  <si>
    <t>Sediment loads dredged (m3), 4th &amp; 5th year</t>
  </si>
  <si>
    <t xml:space="preserve">Maintenance dredging </t>
  </si>
  <si>
    <t>Share of sediment re-used for sand</t>
  </si>
  <si>
    <t>Quantities dredged</t>
  </si>
  <si>
    <t>Total quantity of sediment dredged</t>
  </si>
  <si>
    <t>Dredging cost ($/m3)</t>
  </si>
  <si>
    <t>Confined disposal facility - all sediment</t>
  </si>
  <si>
    <t>Dredging cost - all cost</t>
  </si>
  <si>
    <t>Operation and maintenance cost ($/m3)</t>
  </si>
  <si>
    <t xml:space="preserve">Cleveland Harbor Dike 12 </t>
  </si>
  <si>
    <t xml:space="preserve">OH </t>
  </si>
  <si>
    <t xml:space="preserve">L </t>
  </si>
  <si>
    <t xml:space="preserve">Waterfront Dev. </t>
  </si>
  <si>
    <t xml:space="preserve">Huron Harbor </t>
  </si>
  <si>
    <t xml:space="preserve">Small Boat Harbor </t>
  </si>
  <si>
    <t xml:space="preserve">Toledo Harbor Site 3 </t>
  </si>
  <si>
    <t xml:space="preserve">Port Development </t>
  </si>
  <si>
    <t xml:space="preserve">Buffalo Harbor Dike 4 </t>
  </si>
  <si>
    <t xml:space="preserve">NY </t>
  </si>
  <si>
    <t xml:space="preserve">Wildlife Area </t>
  </si>
  <si>
    <t xml:space="preserve">Lorain Harbor </t>
  </si>
  <si>
    <t xml:space="preserve">Erie Harbor </t>
  </si>
  <si>
    <t xml:space="preserve">PA </t>
  </si>
  <si>
    <t xml:space="preserve">Industrial Dev. </t>
  </si>
  <si>
    <t xml:space="preserve">Cleveland Harbor Dike 14 </t>
  </si>
  <si>
    <t xml:space="preserve">Recreation/Park </t>
  </si>
  <si>
    <t xml:space="preserve">Michigan City </t>
  </si>
  <si>
    <t xml:space="preserve">IN </t>
  </si>
  <si>
    <t xml:space="preserve">U </t>
  </si>
  <si>
    <t xml:space="preserve">Chicago Area </t>
  </si>
  <si>
    <t xml:space="preserve">IL </t>
  </si>
  <si>
    <t xml:space="preserve">Marina Expansion </t>
  </si>
  <si>
    <t xml:space="preserve">Grand Haven Harbor </t>
  </si>
  <si>
    <t xml:space="preserve">MI </t>
  </si>
  <si>
    <t xml:space="preserve">Public Use </t>
  </si>
  <si>
    <t xml:space="preserve">Milwaukee Harbor </t>
  </si>
  <si>
    <t xml:space="preserve">WI </t>
  </si>
  <si>
    <t xml:space="preserve">Expansion </t>
  </si>
  <si>
    <t xml:space="preserve">Dickinson Island </t>
  </si>
  <si>
    <t xml:space="preserve">I </t>
  </si>
  <si>
    <t xml:space="preserve">Manitowoc Harbor </t>
  </si>
  <si>
    <t xml:space="preserve">Land Use Dev. </t>
  </si>
  <si>
    <t xml:space="preserve">Kenosha Harbor </t>
  </si>
  <si>
    <t xml:space="preserve">Bolles Harbor </t>
  </si>
  <si>
    <t xml:space="preserve">Saginaw Bay </t>
  </si>
  <si>
    <t xml:space="preserve">Sebewaing Harbor </t>
  </si>
  <si>
    <t xml:space="preserve">Airport Extension </t>
  </si>
  <si>
    <t xml:space="preserve">Duluth Harbor Erie Pier </t>
  </si>
  <si>
    <t xml:space="preserve">MN </t>
  </si>
  <si>
    <t xml:space="preserve">Recreational </t>
  </si>
  <si>
    <t xml:space="preserve">Pte Mouille </t>
  </si>
  <si>
    <t xml:space="preserve">Wildlife Area/Marsh </t>
  </si>
  <si>
    <t xml:space="preserve">Green Bay Harbor </t>
  </si>
  <si>
    <t xml:space="preserve">Kewaunee Harbor </t>
  </si>
  <si>
    <t xml:space="preserve">Frankfort Harbor </t>
  </si>
  <si>
    <t xml:space="preserve">Inland Route </t>
  </si>
  <si>
    <t xml:space="preserve">Monroe Harbor </t>
  </si>
  <si>
    <t xml:space="preserve">State Park </t>
  </si>
  <si>
    <t xml:space="preserve">Keweenaw Waterway </t>
  </si>
  <si>
    <t xml:space="preserve">Clinton River </t>
  </si>
  <si>
    <t xml:space="preserve">Recreational Area </t>
  </si>
  <si>
    <t xml:space="preserve">Cleveland Harbor Dike 10B </t>
  </si>
  <si>
    <t xml:space="preserve">in prep </t>
  </si>
  <si>
    <t xml:space="preserve">Airport </t>
  </si>
  <si>
    <t xml:space="preserve">Small Boat Harbor/Buffalo </t>
  </si>
  <si>
    <t xml:space="preserve">Times Beach/Buffalo </t>
  </si>
  <si>
    <t xml:space="preserve">Grassy Island (Isl 18)/Toledo </t>
  </si>
  <si>
    <t xml:space="preserve">None </t>
  </si>
  <si>
    <t xml:space="preserve">Toledo Harbor Site 3 Ext </t>
  </si>
  <si>
    <t xml:space="preserve">Grassy Island/Detroit Riv. </t>
  </si>
  <si>
    <t xml:space="preserve">State </t>
  </si>
  <si>
    <t xml:space="preserve">Year Built </t>
  </si>
  <si>
    <t xml:space="preserve">Size (acres) </t>
  </si>
  <si>
    <t xml:space="preserve">Construction Cost </t>
  </si>
  <si>
    <t>Percent filled</t>
  </si>
  <si>
    <t>capacity (m3)</t>
  </si>
  <si>
    <t>Proportion of capacity re-used</t>
  </si>
  <si>
    <t>Disposal facility to accomodate maintenance dredging</t>
  </si>
  <si>
    <t>AVERAGE (MEDIAN)</t>
  </si>
  <si>
    <t>Average cost per m3 capacity</t>
  </si>
  <si>
    <t xml:space="preserve">Type1 </t>
  </si>
  <si>
    <t xml:space="preserve">Capacity (yd3) </t>
  </si>
  <si>
    <t xml:space="preserve">Holland Hbr-Riverview Site2 </t>
  </si>
  <si>
    <t xml:space="preserve">Holland Hbr-Windmill Site2 </t>
  </si>
  <si>
    <t>Maintance dredging &amp; disposal all sediment</t>
  </si>
  <si>
    <t>Price of sand, Uzbekistan ($/m3)</t>
  </si>
  <si>
    <t>Production of clay (m3)</t>
  </si>
  <si>
    <t>Sand for re-use(m3 / year)</t>
  </si>
  <si>
    <t>Clay sand or re-use (m3 / year)</t>
  </si>
  <si>
    <t>Total dredging cost - clay sand only</t>
  </si>
  <si>
    <t>Sand and clay processing cost</t>
  </si>
  <si>
    <t>Expense per year (depreciated), 50 years</t>
  </si>
  <si>
    <t>1 ton=0.71 m3</t>
  </si>
  <si>
    <t>Annual expense (depreciated)</t>
  </si>
  <si>
    <t>Cost (USD)</t>
  </si>
  <si>
    <t>Total transport, urgench and surroundings (within 100 km of the site)</t>
  </si>
  <si>
    <t>Davlatov, Pesok.uz</t>
  </si>
  <si>
    <t>International and domestic prices for sand</t>
  </si>
  <si>
    <t>1 UZBEK = USD 0.000091</t>
  </si>
  <si>
    <t>1 USD =10985 UZBEK</t>
  </si>
  <si>
    <t>IDH in Siri (2022)</t>
  </si>
  <si>
    <t>Clay sand (m3) &gt;30% clay</t>
  </si>
  <si>
    <t>Washed silica sand (m3) (&gt;90% sand)</t>
  </si>
  <si>
    <t xml:space="preserve">Uses after filling </t>
  </si>
  <si>
    <t>Construction cost per year  (50 year)</t>
  </si>
  <si>
    <t>Construction cost in $2022</t>
  </si>
  <si>
    <t>Construction Cost (USD 2022) per m3 capacity</t>
  </si>
  <si>
    <t>Australia $ to US$</t>
  </si>
  <si>
    <t>Total processing cost ($)</t>
  </si>
  <si>
    <t>Construction cost ($)</t>
  </si>
  <si>
    <t>Dredging, construction, processing, transport ($)</t>
  </si>
  <si>
    <t>Processing and transportation ($)</t>
  </si>
  <si>
    <t>Maintance dredging &amp; disposal all sediment  ($)</t>
  </si>
  <si>
    <t>Operating cost</t>
  </si>
  <si>
    <t>Operating cost per m3</t>
  </si>
  <si>
    <t>O&amp;M cost ($)</t>
  </si>
  <si>
    <t>Yearly O &amp; M costs per m3 capacity ($/m3)</t>
  </si>
  <si>
    <t>Construction cost per m3 capacity ($/m3)</t>
  </si>
  <si>
    <t xml:space="preserve">Cost </t>
  </si>
  <si>
    <t>Operation and maintenance cost ($)</t>
  </si>
  <si>
    <t>O&amp;M cost ($/m3)</t>
  </si>
  <si>
    <t>Urgench and surroundings ($/m3) for 100 km trip</t>
  </si>
  <si>
    <t>Profit and Loss</t>
  </si>
  <si>
    <t>Revenue from sale of sand &amp; clay ($)</t>
  </si>
  <si>
    <t>Price of clay, Uzbekistan ($/m3)</t>
  </si>
  <si>
    <t>Total dredging cost ($) - all sediments (1-2 million)</t>
  </si>
  <si>
    <t xml:space="preserve">Gross profit margin </t>
  </si>
  <si>
    <r>
      <rPr>
        <b/>
        <sz val="11"/>
        <color rgb="FF000000"/>
        <rFont val="Arial"/>
        <family val="2"/>
      </rPr>
      <t xml:space="preserve">Gross profit </t>
    </r>
    <r>
      <rPr>
        <sz val="11"/>
        <color rgb="FF000000"/>
        <rFont val="Arial"/>
        <family val="2"/>
      </rPr>
      <t>- processing, transport and sale of sand &amp; clay</t>
    </r>
  </si>
  <si>
    <r>
      <rPr>
        <b/>
        <sz val="11"/>
        <color theme="1"/>
        <rFont val="Arial"/>
        <family val="2"/>
      </rPr>
      <t xml:space="preserve">Net profit </t>
    </r>
    <r>
      <rPr>
        <sz val="11"/>
        <color theme="1"/>
        <rFont val="Arial"/>
        <family val="2"/>
      </rPr>
      <t>- dredging, disposal, processing, transport and sale of sand &amp; clay</t>
    </r>
  </si>
  <si>
    <t>Share of sediment re-used for clay</t>
  </si>
  <si>
    <t xml:space="preserve">Demand </t>
  </si>
  <si>
    <t>Annual (2021)</t>
  </si>
  <si>
    <t>Uzbekistan - cement (tons)</t>
  </si>
  <si>
    <t>Turkmenistan - cement  (tons)</t>
  </si>
  <si>
    <t>Concrete, ratio of cement to sand</t>
  </si>
  <si>
    <t>Uzbekistan &amp; turmenistan  - dry sand demand (to produce concrete when mixed with cement) (tons)</t>
  </si>
  <si>
    <t>Lower bound level of dry sand demand (in m3)</t>
  </si>
  <si>
    <t>Share of dredging material to be used in the CDF</t>
  </si>
  <si>
    <t>CDF capacity requirement during maintenance dredging (m3)</t>
  </si>
  <si>
    <t>CDF - Sediment disposal facility costs</t>
  </si>
  <si>
    <t>Yearly O &amp; M costs for 8 million m3 capacity ($)</t>
  </si>
  <si>
    <t>CFD construction cost for 4.8 million m3 capacity ($)</t>
  </si>
  <si>
    <t xml:space="preserve">Cost-recovery (gross profit/dredging and disposal cost) </t>
  </si>
  <si>
    <t>Total construction cost for a 4.8 mil m3 facility (depreciated) $</t>
  </si>
  <si>
    <t>XE (September 2022) UZBEK : USD</t>
  </si>
  <si>
    <t>XE (September 2022) USD : UZBEK</t>
  </si>
  <si>
    <t>Equipment lifetime (years)</t>
  </si>
  <si>
    <t>Cubic yard to cubic meter</t>
  </si>
  <si>
    <t>Average bulk density for dry sand (m3 to ton)</t>
  </si>
  <si>
    <t>Average bulk density for dry sand (ton to m3)</t>
  </si>
  <si>
    <t>Average bulk density for moist sand (ton to m3)</t>
  </si>
  <si>
    <t>Average bulk density for moist sand (m3 to ton)</t>
  </si>
  <si>
    <t>XE (September 2022) AUS $ : USD $</t>
  </si>
  <si>
    <t>Applied water (m3/ha)</t>
  </si>
  <si>
    <t>Incremental yield / Water Use efficiency (kg raw cotton/m3)</t>
  </si>
  <si>
    <t>Incremental yield / Water Use efficiency (kg cotton lint/m3)</t>
  </si>
  <si>
    <t>Raw cotton yield - BAU (kg/ha)</t>
  </si>
  <si>
    <t>Cotton lint yield (kg/ha)</t>
  </si>
  <si>
    <t>Incremental revenue ($/m3 water used)</t>
  </si>
  <si>
    <t>Electricity water pumping costs ($/m3)</t>
  </si>
  <si>
    <t>Incremental profit ($/m3)</t>
  </si>
  <si>
    <t xml:space="preserve">Traditional Irrigation </t>
  </si>
  <si>
    <t>Drip Irrigation</t>
  </si>
  <si>
    <t>reference</t>
  </si>
  <si>
    <t>Cotton lint Price Per 1 Kilogram</t>
  </si>
  <si>
    <t>$/kg cotton lint</t>
  </si>
  <si>
    <t>https://markets.businessinsider.com/commodities/cotton-price</t>
  </si>
  <si>
    <t>Raw cotton yield to cotton lint</t>
  </si>
  <si>
    <t xml:space="preserve">Baffes, John. (2022). Distortions to Cotton Sector Incentives in West and Central Africa. </t>
  </si>
  <si>
    <t>I&amp;D water abstraction cost</t>
  </si>
  <si>
    <t>$/m3</t>
  </si>
  <si>
    <t>World Bank (2022) In press. Valuing ecosystems services and prioritizing landscape restoration investments in Vakhsh catchment to support sustainable hydropower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</si>
</sst>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0.0"/>
    <numFmt numFmtId="167" formatCode="#,##0.0"/>
    <numFmt numFmtId="168" formatCode="0.000"/>
    <numFmt numFmtId="169" formatCode="_ * #,##0.0_ ;_ * \-#,##0.0_ ;_ * &quot;-&quot;_ ;_ @_ "/>
    <numFmt numFmtId="170" formatCode="_ * #,##0.00_ ;_ * \-#,##0.00_ ;_ * &quot;-&quot;_ ;_ @_ "/>
  </numFmts>
  <fonts count="4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9"/>
      <name val="Arial"/>
      <family val="2"/>
    </font>
    <font>
      <sz val="11"/>
      <color rgb="FF000000"/>
      <name val="Arial"/>
      <family val="2"/>
    </font>
    <font>
      <sz val="10"/>
      <color indexed="9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8000"/>
      <name val="Arial"/>
      <family val="2"/>
    </font>
    <font>
      <sz val="12"/>
      <color theme="1"/>
      <name val="Calibri"/>
      <family val="2"/>
    </font>
    <font>
      <b/>
      <sz val="11"/>
      <color theme="2" tint="-0.499984740745262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0"/>
      <name val="Calibri"/>
      <family val="2"/>
      <scheme val="minor"/>
    </font>
    <font>
      <sz val="9"/>
      <color theme="6" tint="-0.499984740745262"/>
      <name val="Calibri"/>
      <family val="2"/>
      <scheme val="minor"/>
    </font>
    <font>
      <sz val="11.5"/>
      <color theme="1"/>
      <name val="Arial"/>
      <family val="2"/>
    </font>
    <font>
      <b/>
      <sz val="11.5"/>
      <color theme="1"/>
      <name val="Arial"/>
      <family val="2"/>
    </font>
    <font>
      <i/>
      <sz val="10"/>
      <color indexed="9"/>
      <name val="Arial"/>
      <family val="2"/>
    </font>
    <font>
      <sz val="10"/>
      <color rgb="FF76933C"/>
      <name val="Arial"/>
      <family val="2"/>
    </font>
    <font>
      <b/>
      <sz val="10"/>
      <color theme="6" tint="-0.249977111117893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Calibri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sz val="10"/>
      <color theme="1"/>
      <name val="Calibri"/>
      <family val="2"/>
      <scheme val="minor"/>
    </font>
    <font>
      <sz val="11"/>
      <color theme="5"/>
      <name val="Arial"/>
      <family val="2"/>
    </font>
    <font>
      <b/>
      <sz val="11.5"/>
      <color theme="5"/>
      <name val="Arial"/>
      <family val="2"/>
    </font>
    <font>
      <sz val="10.5"/>
      <color rgb="FF0C0F14"/>
      <name val="Arial"/>
      <family val="2"/>
    </font>
    <font>
      <sz val="12"/>
      <color theme="1"/>
      <name val="Helvetica Neue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1111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20624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ck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9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9" fillId="6" borderId="0" applyNumberFormat="0" applyAlignment="0" applyProtection="0"/>
    <xf numFmtId="0" fontId="20" fillId="0" borderId="0">
      <alignment horizontal="center"/>
    </xf>
    <xf numFmtId="0" fontId="7" fillId="0" borderId="0" applyNumberFormat="0" applyFill="0" applyBorder="0" applyAlignment="0" applyProtection="0"/>
  </cellStyleXfs>
  <cellXfs count="242">
    <xf numFmtId="0" fontId="0" fillId="0" borderId="0" xfId="0"/>
    <xf numFmtId="3" fontId="2" fillId="2" borderId="0" xfId="0" applyNumberFormat="1" applyFont="1" applyFill="1" applyBorder="1"/>
    <xf numFmtId="3" fontId="4" fillId="3" borderId="0" xfId="0" applyNumberFormat="1" applyFont="1" applyFill="1"/>
    <xf numFmtId="3" fontId="2" fillId="0" borderId="0" xfId="0" applyNumberFormat="1" applyFont="1" applyFill="1" applyBorder="1"/>
    <xf numFmtId="3" fontId="4" fillId="3" borderId="0" xfId="0" applyNumberFormat="1" applyFont="1" applyFill="1" applyBorder="1"/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2" fillId="2" borderId="0" xfId="0" applyFont="1" applyFill="1" applyBorder="1"/>
    <xf numFmtId="3" fontId="2" fillId="0" borderId="0" xfId="0" applyNumberFormat="1" applyFont="1" applyFill="1"/>
    <xf numFmtId="3" fontId="2" fillId="4" borderId="0" xfId="0" applyNumberFormat="1" applyFont="1" applyFill="1" applyBorder="1"/>
    <xf numFmtId="0" fontId="10" fillId="0" borderId="0" xfId="0" applyFont="1"/>
    <xf numFmtId="0" fontId="11" fillId="2" borderId="0" xfId="0" applyFont="1" applyFill="1" applyBorder="1"/>
    <xf numFmtId="0" fontId="11" fillId="2" borderId="1" xfId="0" applyFont="1" applyFill="1" applyBorder="1"/>
    <xf numFmtId="0" fontId="10" fillId="0" borderId="0" xfId="0" applyFont="1" applyBorder="1"/>
    <xf numFmtId="0" fontId="10" fillId="0" borderId="0" xfId="0" applyFont="1" applyFill="1" applyBorder="1"/>
    <xf numFmtId="0" fontId="0" fillId="0" borderId="0" xfId="0" applyBorder="1"/>
    <xf numFmtId="0" fontId="10" fillId="0" borderId="0" xfId="0" applyFont="1" applyFill="1"/>
    <xf numFmtId="0" fontId="0" fillId="0" borderId="0" xfId="0" applyFill="1"/>
    <xf numFmtId="0" fontId="17" fillId="0" borderId="0" xfId="0" applyFont="1" applyFill="1"/>
    <xf numFmtId="0" fontId="17" fillId="0" borderId="0" xfId="0" applyFont="1"/>
    <xf numFmtId="0" fontId="3" fillId="0" borderId="0" xfId="0" applyFont="1" applyFill="1" applyBorder="1"/>
    <xf numFmtId="0" fontId="0" fillId="0" borderId="0" xfId="0" applyFill="1" applyBorder="1"/>
    <xf numFmtId="3" fontId="4" fillId="0" borderId="0" xfId="0" applyNumberFormat="1" applyFont="1" applyFill="1" applyBorder="1"/>
    <xf numFmtId="166" fontId="2" fillId="0" borderId="0" xfId="0" applyNumberFormat="1" applyFont="1" applyBorder="1"/>
    <xf numFmtId="0" fontId="21" fillId="2" borderId="0" xfId="0" applyFont="1" applyFill="1" applyBorder="1"/>
    <xf numFmtId="0" fontId="21" fillId="0" borderId="0" xfId="0" applyFont="1" applyFill="1"/>
    <xf numFmtId="0" fontId="21" fillId="0" borderId="0" xfId="0" applyFont="1"/>
    <xf numFmtId="1" fontId="21" fillId="0" borderId="0" xfId="0" applyNumberFormat="1" applyFont="1"/>
    <xf numFmtId="0" fontId="21" fillId="0" borderId="0" xfId="0" applyFont="1" applyBorder="1"/>
    <xf numFmtId="0" fontId="3" fillId="5" borderId="0" xfId="0" applyFont="1" applyFill="1"/>
    <xf numFmtId="0" fontId="21" fillId="2" borderId="0" xfId="0" applyFont="1" applyFill="1"/>
    <xf numFmtId="0" fontId="22" fillId="0" borderId="0" xfId="0" applyFont="1"/>
    <xf numFmtId="0" fontId="22" fillId="2" borderId="0" xfId="0" applyFont="1" applyFill="1" applyBorder="1"/>
    <xf numFmtId="0" fontId="2" fillId="7" borderId="0" xfId="0" applyFont="1" applyFill="1"/>
    <xf numFmtId="0" fontId="0" fillId="5" borderId="0" xfId="0" applyFill="1" applyBorder="1"/>
    <xf numFmtId="3" fontId="4" fillId="9" borderId="0" xfId="0" applyNumberFormat="1" applyFont="1" applyFill="1" applyBorder="1"/>
    <xf numFmtId="0" fontId="0" fillId="9" borderId="0" xfId="0" applyFill="1" applyBorder="1"/>
    <xf numFmtId="0" fontId="0" fillId="9" borderId="0" xfId="0" applyFill="1"/>
    <xf numFmtId="3" fontId="4" fillId="5" borderId="4" xfId="0" applyNumberFormat="1" applyFont="1" applyFill="1" applyBorder="1"/>
    <xf numFmtId="0" fontId="0" fillId="5" borderId="4" xfId="0" applyFill="1" applyBorder="1"/>
    <xf numFmtId="0" fontId="14" fillId="5" borderId="4" xfId="0" applyFont="1" applyFill="1" applyBorder="1"/>
    <xf numFmtId="0" fontId="17" fillId="0" borderId="0" xfId="0" applyFont="1" applyBorder="1"/>
    <xf numFmtId="2" fontId="17" fillId="0" borderId="0" xfId="0" applyNumberFormat="1" applyFont="1" applyFill="1" applyBorder="1"/>
    <xf numFmtId="0" fontId="17" fillId="0" borderId="0" xfId="0" applyFont="1" applyFill="1" applyBorder="1"/>
    <xf numFmtId="0" fontId="15" fillId="0" borderId="0" xfId="0" applyFont="1" applyBorder="1"/>
    <xf numFmtId="0" fontId="12" fillId="5" borderId="4" xfId="0" applyFont="1" applyFill="1" applyBorder="1"/>
    <xf numFmtId="0" fontId="18" fillId="5" borderId="4" xfId="0" applyFont="1" applyFill="1" applyBorder="1"/>
    <xf numFmtId="3" fontId="23" fillId="9" borderId="0" xfId="0" applyNumberFormat="1" applyFont="1" applyFill="1"/>
    <xf numFmtId="3" fontId="6" fillId="9" borderId="0" xfId="0" applyNumberFormat="1" applyFont="1" applyFill="1"/>
    <xf numFmtId="0" fontId="18" fillId="0" borderId="0" xfId="0" applyFont="1" applyFill="1"/>
    <xf numFmtId="0" fontId="17" fillId="2" borderId="0" xfId="0" applyFont="1" applyFill="1"/>
    <xf numFmtId="1" fontId="17" fillId="0" borderId="0" xfId="0" applyNumberFormat="1" applyFont="1"/>
    <xf numFmtId="0" fontId="17" fillId="5" borderId="4" xfId="0" applyFont="1" applyFill="1" applyBorder="1"/>
    <xf numFmtId="0" fontId="29" fillId="9" borderId="0" xfId="0" applyFont="1" applyFill="1" applyBorder="1"/>
    <xf numFmtId="0" fontId="29" fillId="9" borderId="0" xfId="0" applyFont="1" applyFill="1"/>
    <xf numFmtId="0" fontId="30" fillId="9" borderId="0" xfId="0" applyFont="1" applyFill="1"/>
    <xf numFmtId="0" fontId="31" fillId="9" borderId="0" xfId="0" applyFont="1" applyFill="1"/>
    <xf numFmtId="0" fontId="31" fillId="9" borderId="0" xfId="0" applyFont="1" applyFill="1" applyBorder="1"/>
    <xf numFmtId="0" fontId="18" fillId="0" borderId="0" xfId="0" applyFont="1" applyFill="1" applyBorder="1"/>
    <xf numFmtId="0" fontId="14" fillId="0" borderId="0" xfId="0" applyFont="1" applyFill="1" applyBorder="1"/>
    <xf numFmtId="0" fontId="17" fillId="0" borderId="1" xfId="0" applyFont="1" applyBorder="1"/>
    <xf numFmtId="0" fontId="0" fillId="0" borderId="1" xfId="0" applyBorder="1"/>
    <xf numFmtId="0" fontId="19" fillId="9" borderId="0" xfId="0" applyFont="1" applyFill="1"/>
    <xf numFmtId="0" fontId="19" fillId="9" borderId="0" xfId="0" applyFont="1" applyFill="1" applyBorder="1"/>
    <xf numFmtId="0" fontId="29" fillId="0" borderId="0" xfId="0" applyFont="1" applyFill="1"/>
    <xf numFmtId="0" fontId="29" fillId="0" borderId="0" xfId="0" applyFont="1" applyFill="1" applyBorder="1"/>
    <xf numFmtId="0" fontId="19" fillId="0" borderId="0" xfId="0" applyFont="1" applyFill="1"/>
    <xf numFmtId="0" fontId="19" fillId="0" borderId="0" xfId="0" applyFont="1" applyFill="1" applyBorder="1"/>
    <xf numFmtId="0" fontId="21" fillId="0" borderId="0" xfId="0" applyFont="1" applyFill="1" applyBorder="1"/>
    <xf numFmtId="3" fontId="4" fillId="0" borderId="0" xfId="0" applyNumberFormat="1" applyFont="1" applyFill="1"/>
    <xf numFmtId="166" fontId="21" fillId="0" borderId="0" xfId="0" applyNumberFormat="1" applyFont="1"/>
    <xf numFmtId="0" fontId="3" fillId="0" borderId="0" xfId="0" applyFont="1" applyBorder="1"/>
    <xf numFmtId="0" fontId="5" fillId="0" borderId="0" xfId="0" applyFont="1"/>
    <xf numFmtId="0" fontId="9" fillId="0" borderId="0" xfId="0" applyFont="1" applyFill="1"/>
    <xf numFmtId="0" fontId="9" fillId="5" borderId="0" xfId="0" applyFont="1" applyFill="1"/>
    <xf numFmtId="0" fontId="2" fillId="0" borderId="1" xfId="0" applyFont="1" applyBorder="1"/>
    <xf numFmtId="0" fontId="2" fillId="0" borderId="2" xfId="0" applyFont="1" applyFill="1" applyBorder="1"/>
    <xf numFmtId="0" fontId="3" fillId="5" borderId="2" xfId="0" applyFont="1" applyFill="1" applyBorder="1"/>
    <xf numFmtId="3" fontId="4" fillId="3" borderId="2" xfId="0" applyNumberFormat="1" applyFont="1" applyFill="1" applyBorder="1"/>
    <xf numFmtId="3" fontId="2" fillId="0" borderId="2" xfId="0" applyNumberFormat="1" applyFont="1" applyFill="1" applyBorder="1"/>
    <xf numFmtId="1" fontId="21" fillId="0" borderId="2" xfId="0" applyNumberFormat="1" applyFont="1" applyBorder="1"/>
    <xf numFmtId="0" fontId="21" fillId="0" borderId="2" xfId="0" applyFont="1" applyBorder="1"/>
    <xf numFmtId="166" fontId="21" fillId="0" borderId="2" xfId="0" applyNumberFormat="1" applyFont="1" applyBorder="1"/>
    <xf numFmtId="0" fontId="22" fillId="0" borderId="2" xfId="0" applyFont="1" applyBorder="1"/>
    <xf numFmtId="0" fontId="2" fillId="0" borderId="2" xfId="0" applyFont="1" applyBorder="1"/>
    <xf numFmtId="0" fontId="2" fillId="0" borderId="1" xfId="0" applyFont="1" applyFill="1" applyBorder="1"/>
    <xf numFmtId="0" fontId="18" fillId="5" borderId="3" xfId="0" applyFont="1" applyFill="1" applyBorder="1"/>
    <xf numFmtId="0" fontId="14" fillId="5" borderId="3" xfId="0" applyFont="1" applyFill="1" applyBorder="1"/>
    <xf numFmtId="0" fontId="18" fillId="0" borderId="1" xfId="0" applyFont="1" applyFill="1" applyBorder="1"/>
    <xf numFmtId="0" fontId="14" fillId="0" borderId="1" xfId="0" applyFont="1" applyFill="1" applyBorder="1"/>
    <xf numFmtId="3" fontId="4" fillId="0" borderId="2" xfId="0" applyNumberFormat="1" applyFont="1" applyFill="1" applyBorder="1"/>
    <xf numFmtId="3" fontId="2" fillId="0" borderId="0" xfId="0" applyNumberFormat="1" applyFont="1" applyBorder="1"/>
    <xf numFmtId="0" fontId="18" fillId="5" borderId="4" xfId="0" applyFont="1" applyFill="1" applyBorder="1" applyAlignment="1">
      <alignment wrapText="1"/>
    </xf>
    <xf numFmtId="0" fontId="17" fillId="5" borderId="4" xfId="0" applyFont="1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26" fillId="5" borderId="0" xfId="0" applyFont="1" applyFill="1" applyBorder="1" applyAlignment="1">
      <alignment vertical="center" wrapText="1"/>
    </xf>
    <xf numFmtId="0" fontId="26" fillId="5" borderId="0" xfId="0" applyFont="1" applyFill="1" applyBorder="1" applyAlignment="1">
      <alignment vertical="center"/>
    </xf>
    <xf numFmtId="0" fontId="17" fillId="5" borderId="0" xfId="0" applyFont="1" applyFill="1" applyBorder="1"/>
    <xf numFmtId="9" fontId="27" fillId="0" borderId="0" xfId="0" applyNumberFormat="1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0" fontId="32" fillId="0" borderId="0" xfId="0" applyFont="1" applyFill="1" applyBorder="1"/>
    <xf numFmtId="0" fontId="33" fillId="0" borderId="0" xfId="0" applyFont="1" applyFill="1" applyBorder="1"/>
    <xf numFmtId="0" fontId="32" fillId="0" borderId="2" xfId="0" applyFont="1" applyFill="1" applyBorder="1"/>
    <xf numFmtId="0" fontId="32" fillId="0" borderId="1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22" fillId="2" borderId="0" xfId="0" applyFont="1" applyFill="1"/>
    <xf numFmtId="3" fontId="2" fillId="0" borderId="1" xfId="0" applyNumberFormat="1" applyFont="1" applyFill="1" applyBorder="1"/>
    <xf numFmtId="0" fontId="38" fillId="2" borderId="0" xfId="0" applyFont="1" applyFill="1"/>
    <xf numFmtId="0" fontId="38" fillId="2" borderId="0" xfId="0" applyFont="1" applyFill="1" applyBorder="1"/>
    <xf numFmtId="0" fontId="38" fillId="0" borderId="0" xfId="0" applyFont="1"/>
    <xf numFmtId="0" fontId="3" fillId="0" borderId="6" xfId="0" applyFont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6" xfId="0" applyFont="1" applyFill="1" applyBorder="1"/>
    <xf numFmtId="0" fontId="2" fillId="0" borderId="6" xfId="0" applyFont="1" applyBorder="1"/>
    <xf numFmtId="9" fontId="2" fillId="0" borderId="6" xfId="0" applyNumberFormat="1" applyFont="1" applyBorder="1"/>
    <xf numFmtId="164" fontId="2" fillId="7" borderId="6" xfId="0" applyNumberFormat="1" applyFont="1" applyFill="1" applyBorder="1"/>
    <xf numFmtId="0" fontId="2" fillId="0" borderId="6" xfId="0" applyNumberFormat="1" applyFont="1" applyBorder="1"/>
    <xf numFmtId="168" fontId="2" fillId="0" borderId="6" xfId="0" applyNumberFormat="1" applyFont="1" applyBorder="1"/>
    <xf numFmtId="166" fontId="2" fillId="0" borderId="6" xfId="0" applyNumberFormat="1" applyFont="1" applyBorder="1"/>
    <xf numFmtId="3" fontId="2" fillId="0" borderId="6" xfId="0" applyNumberFormat="1" applyFont="1" applyBorder="1"/>
    <xf numFmtId="168" fontId="2" fillId="7" borderId="6" xfId="0" applyNumberFormat="1" applyFont="1" applyFill="1" applyBorder="1"/>
    <xf numFmtId="166" fontId="2" fillId="7" borderId="6" xfId="0" applyNumberFormat="1" applyFont="1" applyFill="1" applyBorder="1"/>
    <xf numFmtId="0" fontId="17" fillId="0" borderId="6" xfId="0" applyFont="1" applyFill="1" applyBorder="1"/>
    <xf numFmtId="0" fontId="17" fillId="0" borderId="6" xfId="0" applyFont="1" applyBorder="1"/>
    <xf numFmtId="4" fontId="17" fillId="0" borderId="6" xfId="0" applyNumberFormat="1" applyFont="1" applyFill="1" applyBorder="1"/>
    <xf numFmtId="1" fontId="17" fillId="0" borderId="6" xfId="0" applyNumberFormat="1" applyFont="1" applyBorder="1"/>
    <xf numFmtId="2" fontId="17" fillId="0" borderId="6" xfId="0" applyNumberFormat="1" applyFont="1" applyFill="1" applyBorder="1"/>
    <xf numFmtId="166" fontId="17" fillId="0" borderId="6" xfId="0" applyNumberFormat="1" applyFont="1" applyBorder="1"/>
    <xf numFmtId="0" fontId="18" fillId="5" borderId="6" xfId="0" applyFont="1" applyFill="1" applyBorder="1" applyAlignment="1">
      <alignment wrapText="1"/>
    </xf>
    <xf numFmtId="164" fontId="17" fillId="0" borderId="6" xfId="0" applyNumberFormat="1" applyFont="1" applyFill="1" applyBorder="1"/>
    <xf numFmtId="1" fontId="36" fillId="0" borderId="6" xfId="0" applyNumberFormat="1" applyFont="1" applyFill="1" applyBorder="1"/>
    <xf numFmtId="165" fontId="2" fillId="0" borderId="6" xfId="0" applyNumberFormat="1" applyFont="1" applyBorder="1"/>
    <xf numFmtId="169" fontId="17" fillId="0" borderId="6" xfId="0" applyNumberFormat="1" applyFont="1" applyFill="1" applyBorder="1"/>
    <xf numFmtId="170" fontId="17" fillId="0" borderId="6" xfId="0" applyNumberFormat="1" applyFont="1" applyFill="1" applyBorder="1"/>
    <xf numFmtId="0" fontId="2" fillId="0" borderId="7" xfId="0" applyFont="1" applyBorder="1"/>
    <xf numFmtId="164" fontId="36" fillId="0" borderId="6" xfId="0" applyNumberFormat="1" applyFont="1" applyFill="1" applyBorder="1"/>
    <xf numFmtId="0" fontId="3" fillId="0" borderId="1" xfId="0" applyFont="1" applyFill="1" applyBorder="1"/>
    <xf numFmtId="3" fontId="3" fillId="0" borderId="1" xfId="0" applyNumberFormat="1" applyFont="1" applyBorder="1"/>
    <xf numFmtId="0" fontId="13" fillId="0" borderId="1" xfId="0" applyFont="1" applyBorder="1"/>
    <xf numFmtId="9" fontId="22" fillId="0" borderId="1" xfId="1" applyFont="1" applyBorder="1"/>
    <xf numFmtId="2" fontId="2" fillId="0" borderId="1" xfId="0" applyNumberFormat="1" applyFont="1" applyBorder="1"/>
    <xf numFmtId="4" fontId="2" fillId="0" borderId="1" xfId="0" applyNumberFormat="1" applyFont="1" applyFill="1" applyBorder="1"/>
    <xf numFmtId="38" fontId="2" fillId="0" borderId="0" xfId="0" applyNumberFormat="1" applyFont="1"/>
    <xf numFmtId="38" fontId="2" fillId="0" borderId="1" xfId="0" applyNumberFormat="1" applyFont="1" applyBorder="1"/>
    <xf numFmtId="38" fontId="2" fillId="0" borderId="1" xfId="0" applyNumberFormat="1" applyFont="1" applyFill="1" applyBorder="1"/>
    <xf numFmtId="38" fontId="4" fillId="3" borderId="0" xfId="0" applyNumberFormat="1" applyFont="1" applyFill="1"/>
    <xf numFmtId="38" fontId="4" fillId="3" borderId="0" xfId="0" applyNumberFormat="1" applyFont="1" applyFill="1" applyBorder="1"/>
    <xf numFmtId="38" fontId="2" fillId="0" borderId="0" xfId="0" applyNumberFormat="1" applyFont="1" applyFill="1"/>
    <xf numFmtId="38" fontId="2" fillId="0" borderId="7" xfId="0" applyNumberFormat="1" applyFont="1" applyBorder="1"/>
    <xf numFmtId="38" fontId="3" fillId="0" borderId="1" xfId="0" applyNumberFormat="1" applyFont="1" applyBorder="1"/>
    <xf numFmtId="40" fontId="2" fillId="0" borderId="1" xfId="0" applyNumberFormat="1" applyFont="1" applyBorder="1"/>
    <xf numFmtId="40" fontId="2" fillId="0" borderId="0" xfId="0" applyNumberFormat="1" applyFont="1" applyFill="1"/>
    <xf numFmtId="167" fontId="2" fillId="0" borderId="1" xfId="0" applyNumberFormat="1" applyFont="1" applyFill="1" applyBorder="1"/>
    <xf numFmtId="38" fontId="2" fillId="0" borderId="0" xfId="0" applyNumberFormat="1" applyFont="1" applyBorder="1"/>
    <xf numFmtId="0" fontId="3" fillId="5" borderId="8" xfId="0" applyFont="1" applyFill="1" applyBorder="1"/>
    <xf numFmtId="1" fontId="2" fillId="0" borderId="0" xfId="0" applyNumberFormat="1" applyFont="1" applyBorder="1"/>
    <xf numFmtId="0" fontId="5" fillId="0" borderId="0" xfId="0" applyFont="1" applyBorder="1"/>
    <xf numFmtId="0" fontId="34" fillId="5" borderId="0" xfId="0" applyFont="1" applyFill="1" applyBorder="1"/>
    <xf numFmtId="0" fontId="35" fillId="5" borderId="0" xfId="0" applyFont="1" applyFill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9" fontId="2" fillId="0" borderId="0" xfId="1" applyFont="1" applyBorder="1"/>
    <xf numFmtId="0" fontId="13" fillId="0" borderId="0" xfId="0" applyFont="1" applyBorder="1"/>
    <xf numFmtId="0" fontId="2" fillId="0" borderId="6" xfId="0" applyFont="1" applyBorder="1"/>
    <xf numFmtId="3" fontId="4" fillId="2" borderId="0" xfId="0" applyNumberFormat="1" applyFont="1" applyFill="1"/>
    <xf numFmtId="3" fontId="2" fillId="2" borderId="0" xfId="0" applyNumberFormat="1" applyFont="1" applyFill="1"/>
    <xf numFmtId="38" fontId="2" fillId="2" borderId="0" xfId="0" applyNumberFormat="1" applyFont="1" applyFill="1" applyBorder="1"/>
    <xf numFmtId="4" fontId="2" fillId="2" borderId="0" xfId="0" applyNumberFormat="1" applyFont="1" applyFill="1" applyBorder="1"/>
    <xf numFmtId="2" fontId="2" fillId="2" borderId="0" xfId="0" applyNumberFormat="1" applyFont="1" applyFill="1" applyBorder="1"/>
    <xf numFmtId="166" fontId="2" fillId="2" borderId="0" xfId="0" applyNumberFormat="1" applyFont="1" applyFill="1" applyBorder="1"/>
    <xf numFmtId="1" fontId="2" fillId="2" borderId="0" xfId="0" applyNumberFormat="1" applyFont="1" applyFill="1"/>
    <xf numFmtId="38" fontId="2" fillId="2" borderId="0" xfId="0" applyNumberFormat="1" applyFont="1" applyFill="1"/>
    <xf numFmtId="38" fontId="37" fillId="2" borderId="0" xfId="0" applyNumberFormat="1" applyFont="1" applyFill="1"/>
    <xf numFmtId="0" fontId="35" fillId="2" borderId="0" xfId="0" applyFont="1" applyFill="1"/>
    <xf numFmtId="1" fontId="21" fillId="2" borderId="0" xfId="0" applyNumberFormat="1" applyFont="1" applyFill="1"/>
    <xf numFmtId="0" fontId="15" fillId="0" borderId="1" xfId="0" applyFont="1" applyBorder="1"/>
    <xf numFmtId="3" fontId="27" fillId="0" borderId="1" xfId="0" applyNumberFormat="1" applyFont="1" applyBorder="1" applyAlignment="1">
      <alignment horizontal="right" vertical="center"/>
    </xf>
    <xf numFmtId="9" fontId="27" fillId="0" borderId="1" xfId="0" applyNumberFormat="1" applyFont="1" applyBorder="1" applyAlignment="1">
      <alignment horizontal="right" vertical="center"/>
    </xf>
    <xf numFmtId="3" fontId="23" fillId="9" borderId="6" xfId="0" applyNumberFormat="1" applyFont="1" applyFill="1" applyBorder="1"/>
    <xf numFmtId="0" fontId="24" fillId="8" borderId="6" xfId="0" applyFont="1" applyFill="1" applyBorder="1" applyAlignment="1"/>
    <xf numFmtId="3" fontId="23" fillId="5" borderId="6" xfId="0" applyNumberFormat="1" applyFont="1" applyFill="1" applyBorder="1"/>
    <xf numFmtId="0" fontId="39" fillId="0" borderId="6" xfId="0" applyFont="1" applyBorder="1"/>
    <xf numFmtId="14" fontId="17" fillId="0" borderId="6" xfId="0" applyNumberFormat="1" applyFont="1" applyFill="1" applyBorder="1"/>
    <xf numFmtId="0" fontId="10" fillId="0" borderId="6" xfId="0" applyFont="1" applyFill="1" applyBorder="1"/>
    <xf numFmtId="0" fontId="17" fillId="0" borderId="6" xfId="0" applyNumberFormat="1" applyFont="1" applyFill="1" applyBorder="1"/>
    <xf numFmtId="9" fontId="17" fillId="0" borderId="6" xfId="0" applyNumberFormat="1" applyFont="1" applyFill="1" applyBorder="1"/>
    <xf numFmtId="0" fontId="29" fillId="9" borderId="6" xfId="0" applyFont="1" applyFill="1" applyBorder="1"/>
    <xf numFmtId="0" fontId="29" fillId="9" borderId="6" xfId="0" applyNumberFormat="1" applyFont="1" applyFill="1" applyBorder="1"/>
    <xf numFmtId="0" fontId="31" fillId="9" borderId="6" xfId="0" applyFont="1" applyFill="1" applyBorder="1"/>
    <xf numFmtId="0" fontId="26" fillId="5" borderId="6" xfId="0" applyFont="1" applyFill="1" applyBorder="1" applyAlignment="1">
      <alignment vertical="center" wrapText="1"/>
    </xf>
    <xf numFmtId="0" fontId="26" fillId="5" borderId="6" xfId="0" applyFont="1" applyFill="1" applyBorder="1" applyAlignment="1">
      <alignment vertical="center"/>
    </xf>
    <xf numFmtId="0" fontId="0" fillId="5" borderId="6" xfId="0" applyFill="1" applyBorder="1"/>
    <xf numFmtId="0" fontId="27" fillId="0" borderId="6" xfId="0" applyFont="1" applyBorder="1" applyAlignment="1">
      <alignment horizontal="left" vertical="center" wrapText="1"/>
    </xf>
    <xf numFmtId="3" fontId="27" fillId="0" borderId="6" xfId="0" applyNumberFormat="1" applyFont="1" applyBorder="1" applyAlignment="1">
      <alignment horizontal="right" vertical="center" wrapText="1"/>
    </xf>
    <xf numFmtId="0" fontId="27" fillId="0" borderId="6" xfId="0" applyFont="1" applyBorder="1" applyAlignment="1">
      <alignment horizontal="right" vertical="center" wrapText="1"/>
    </xf>
    <xf numFmtId="9" fontId="27" fillId="0" borderId="6" xfId="0" applyNumberFormat="1" applyFont="1" applyBorder="1" applyAlignment="1">
      <alignment horizontal="right" vertical="center"/>
    </xf>
    <xf numFmtId="0" fontId="15" fillId="0" borderId="6" xfId="0" applyFont="1" applyBorder="1"/>
    <xf numFmtId="0" fontId="26" fillId="0" borderId="6" xfId="0" applyFont="1" applyFill="1" applyBorder="1" applyAlignment="1">
      <alignment vertical="center"/>
    </xf>
    <xf numFmtId="3" fontId="27" fillId="0" borderId="6" xfId="0" applyNumberFormat="1" applyFont="1" applyBorder="1" applyAlignment="1">
      <alignment horizontal="right" vertical="center"/>
    </xf>
    <xf numFmtId="0" fontId="0" fillId="0" borderId="6" xfId="0" applyFill="1" applyBorder="1"/>
    <xf numFmtId="0" fontId="0" fillId="0" borderId="6" xfId="0" applyBorder="1"/>
    <xf numFmtId="0" fontId="18" fillId="5" borderId="6" xfId="0" applyFont="1" applyFill="1" applyBorder="1"/>
    <xf numFmtId="1" fontId="17" fillId="0" borderId="6" xfId="0" applyNumberFormat="1" applyFont="1" applyFill="1" applyBorder="1"/>
    <xf numFmtId="0" fontId="18" fillId="0" borderId="6" xfId="0" applyFont="1" applyFill="1" applyBorder="1"/>
    <xf numFmtId="1" fontId="18" fillId="0" borderId="6" xfId="0" applyNumberFormat="1" applyFont="1" applyFill="1" applyBorder="1"/>
    <xf numFmtId="166" fontId="18" fillId="0" borderId="6" xfId="0" applyNumberFormat="1" applyFont="1" applyFill="1" applyBorder="1"/>
    <xf numFmtId="166" fontId="17" fillId="0" borderId="6" xfId="0" applyNumberFormat="1" applyFont="1" applyFill="1" applyBorder="1"/>
    <xf numFmtId="0" fontId="28" fillId="0" borderId="6" xfId="208" applyFont="1" applyFill="1" applyBorder="1"/>
    <xf numFmtId="0" fontId="17" fillId="2" borderId="6" xfId="0" applyFont="1" applyFill="1" applyBorder="1"/>
    <xf numFmtId="0" fontId="17" fillId="5" borderId="6" xfId="0" applyFont="1" applyFill="1" applyBorder="1"/>
    <xf numFmtId="0" fontId="29" fillId="0" borderId="6" xfId="0" applyFont="1" applyFill="1" applyBorder="1"/>
    <xf numFmtId="0" fontId="17" fillId="5" borderId="6" xfId="0" applyFont="1" applyFill="1" applyBorder="1" applyAlignment="1">
      <alignment wrapText="1"/>
    </xf>
    <xf numFmtId="0" fontId="18" fillId="5" borderId="6" xfId="0" applyFont="1" applyFill="1" applyBorder="1" applyAlignment="1">
      <alignment horizontal="center" wrapText="1"/>
    </xf>
    <xf numFmtId="0" fontId="0" fillId="5" borderId="6" xfId="0" applyFill="1" applyBorder="1" applyAlignment="1">
      <alignment wrapText="1"/>
    </xf>
    <xf numFmtId="0" fontId="40" fillId="0" borderId="0" xfId="0" applyFont="1"/>
    <xf numFmtId="2" fontId="17" fillId="0" borderId="6" xfId="0" applyNumberFormat="1" applyFont="1" applyBorder="1"/>
    <xf numFmtId="0" fontId="41" fillId="0" borderId="6" xfId="0" applyFont="1" applyBorder="1" applyAlignment="1">
      <alignment wrapText="1"/>
    </xf>
    <xf numFmtId="0" fontId="41" fillId="0" borderId="6" xfId="0" applyFont="1" applyBorder="1" applyAlignment="1">
      <alignment horizontal="center" wrapText="1"/>
    </xf>
    <xf numFmtId="0" fontId="42" fillId="0" borderId="6" xfId="0" applyFont="1" applyBorder="1" applyAlignment="1">
      <alignment horizontal="center" wrapText="1"/>
    </xf>
    <xf numFmtId="0" fontId="41" fillId="0" borderId="0" xfId="0" applyFont="1" applyAlignment="1">
      <alignment wrapText="1"/>
    </xf>
    <xf numFmtId="0" fontId="41" fillId="0" borderId="6" xfId="0" applyFont="1" applyBorder="1"/>
    <xf numFmtId="0" fontId="41" fillId="0" borderId="6" xfId="0" applyFont="1" applyBorder="1" applyAlignment="1">
      <alignment horizontal="right"/>
    </xf>
    <xf numFmtId="2" fontId="41" fillId="0" borderId="6" xfId="0" applyNumberFormat="1" applyFont="1" applyBorder="1"/>
    <xf numFmtId="1" fontId="41" fillId="0" borderId="6" xfId="0" applyNumberFormat="1" applyFont="1" applyBorder="1"/>
    <xf numFmtId="166" fontId="41" fillId="0" borderId="6" xfId="0" applyNumberFormat="1" applyFont="1" applyBorder="1"/>
    <xf numFmtId="166" fontId="42" fillId="0" borderId="6" xfId="0" applyNumberFormat="1" applyFont="1" applyBorder="1"/>
    <xf numFmtId="0" fontId="41" fillId="0" borderId="0" xfId="0" applyFont="1"/>
    <xf numFmtId="0" fontId="43" fillId="0" borderId="6" xfId="0" applyFont="1" applyBorder="1"/>
    <xf numFmtId="9" fontId="41" fillId="0" borderId="6" xfId="0" applyNumberFormat="1" applyFont="1" applyBorder="1"/>
    <xf numFmtId="9" fontId="22" fillId="2" borderId="0" xfId="1" applyFont="1" applyFill="1" applyBorder="1"/>
    <xf numFmtId="1" fontId="21" fillId="2" borderId="0" xfId="0" applyNumberFormat="1" applyFont="1" applyFill="1" applyBorder="1"/>
    <xf numFmtId="0" fontId="25" fillId="5" borderId="4" xfId="0" applyFont="1" applyFill="1" applyBorder="1" applyAlignment="1">
      <alignment horizontal="center"/>
    </xf>
    <xf numFmtId="0" fontId="25" fillId="5" borderId="5" xfId="0" applyFont="1" applyFill="1" applyBorder="1" applyAlignment="1">
      <alignment horizontal="center"/>
    </xf>
    <xf numFmtId="0" fontId="24" fillId="8" borderId="6" xfId="0" applyFont="1" applyFill="1" applyBorder="1" applyAlignment="1">
      <alignment horizontal="center"/>
    </xf>
    <xf numFmtId="0" fontId="2" fillId="0" borderId="6" xfId="0" applyFont="1" applyBorder="1"/>
  </cellXfs>
  <cellStyles count="209">
    <cellStyle name="Vanja" xfId="207" xr:uid="{57862209-911B-7B44-B176-AEED868E3CF8}"/>
    <cellStyle name="Акцент2" xfId="206" builtinId="33" customBuiltin="1"/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8" builtinId="8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Процентный" xfId="1" builtinId="5"/>
  </cellStyles>
  <dxfs count="0"/>
  <tableStyles count="0" defaultTableStyle="TableStyleMedium9" defaultPivotStyle="PivotStyleMedium4"/>
  <colors>
    <mruColors>
      <color rgb="FF20624A"/>
      <color rgb="FF3EC09E"/>
      <color rgb="FFD9FF69"/>
      <color rgb="FF2147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Revenue</a:t>
            </a:r>
            <a:r>
              <a:rPr lang="en-GB" baseline="0"/>
              <a:t> </a:t>
            </a:r>
            <a:r>
              <a:rPr lang="en-GB"/>
              <a:t>from the sale of sand and clay sand</a:t>
            </a:r>
          </a:p>
        </c:rich>
      </c:tx>
      <c:layout>
        <c:manualLayout>
          <c:xMode val="edge"/>
          <c:yMode val="edge"/>
          <c:x val="0.26453003301085204"/>
          <c:y val="2.5134751200229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989241167862867"/>
          <c:y val="0.14394973070017952"/>
          <c:w val="0.86063856177269882"/>
          <c:h val="0.7727530782171079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'Profit and Loss - sand and clay'!$D$9:$H$9</c:f>
              <c:numCache>
                <c:formatCode>#,##0</c:formatCode>
                <c:ptCount val="5"/>
                <c:pt idx="0">
                  <c:v>3316529.4117647056</c:v>
                </c:pt>
                <c:pt idx="1">
                  <c:v>4974794.1176470593</c:v>
                </c:pt>
                <c:pt idx="2">
                  <c:v>4974794.1176470593</c:v>
                </c:pt>
                <c:pt idx="3">
                  <c:v>6633058.8235294111</c:v>
                </c:pt>
                <c:pt idx="4">
                  <c:v>6633058.8235294111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C-5642-83FD-91F162C5E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367120"/>
        <c:axId val="111385264"/>
      </c:lineChart>
      <c:catAx>
        <c:axId val="1113671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1385264"/>
        <c:crosses val="autoZero"/>
        <c:auto val="1"/>
        <c:lblAlgn val="ctr"/>
        <c:lblOffset val="100"/>
        <c:noMultiLvlLbl val="0"/>
      </c:catAx>
      <c:valAx>
        <c:axId val="11138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136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 baseline="0">
                <a:solidFill>
                  <a:schemeClr val="tx1"/>
                </a:solidFill>
              </a:rPr>
              <a:t>Dredging and sediment disposal costs (USD) </a:t>
            </a:r>
            <a:endParaRPr lang="en-GB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5171501931947443"/>
          <c:y val="2.00777645627355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'Total cost dredging &amp; disposal '!$C$18:$G$18</c:f>
              <c:numCache>
                <c:formatCode>#,##0_);[Red]\(#,##0\)</c:formatCode>
                <c:ptCount val="5"/>
                <c:pt idx="0">
                  <c:v>-2401502.9177600001</c:v>
                </c:pt>
                <c:pt idx="1">
                  <c:v>-3401502.9177600001</c:v>
                </c:pt>
                <c:pt idx="2">
                  <c:v>-3401502.9177600001</c:v>
                </c:pt>
                <c:pt idx="3">
                  <c:v>-4401502.9177599996</c:v>
                </c:pt>
                <c:pt idx="4">
                  <c:v>-4401502.9177599996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E6-4949-961E-BF6057C4F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70720"/>
        <c:axId val="110072032"/>
      </c:lineChart>
      <c:catAx>
        <c:axId val="64170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072032"/>
        <c:crosses val="autoZero"/>
        <c:auto val="1"/>
        <c:lblAlgn val="ctr"/>
        <c:lblOffset val="100"/>
        <c:noMultiLvlLbl val="0"/>
      </c:catAx>
      <c:valAx>
        <c:axId val="11007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17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107727</xdr:rowOff>
    </xdr:from>
    <xdr:to>
      <xdr:col>15</xdr:col>
      <xdr:colOff>557018</xdr:colOff>
      <xdr:row>38</xdr:row>
      <xdr:rowOff>267369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3FA1A1-7215-F74E-B2DE-838CD720B2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3780916</xdr:colOff>
      <xdr:row>21</xdr:row>
      <xdr:rowOff>63209</xdr:rowOff>
    </xdr:from>
    <xdr:to>
      <xdr:col>6</xdr:col>
      <xdr:colOff>649541</xdr:colOff>
      <xdr:row>41</xdr:row>
      <xdr:rowOff>19389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4151A37-253C-4D43-9C00-480B05308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dexbox.io/store/world-silica-sands-quartz-sands-or-industrial-sands-market-analysis-forecast-size-trends-and-insigh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47"/>
  <sheetViews>
    <sheetView tabSelected="1" zoomScale="86" zoomScaleNormal="192" zoomScalePageLayoutView="150" workbookViewId="0">
      <selection activeCell="C43" sqref="C43"/>
    </sheetView>
  </sheetViews>
  <sheetFormatPr defaultColWidth="10.83203125" defaultRowHeight="14"/>
  <cols>
    <col min="1" max="1" width="9.33203125" style="5" customWidth="1"/>
    <col min="2" max="2" width="4.83203125" style="12" hidden="1" customWidth="1"/>
    <col min="3" max="3" width="53.1640625" style="6" customWidth="1"/>
    <col min="4" max="4" width="12.1640625" style="6" customWidth="1"/>
    <col min="5" max="5" width="10.6640625" style="6" customWidth="1"/>
    <col min="6" max="6" width="10.5" style="7" customWidth="1"/>
    <col min="7" max="7" width="10" style="7" customWidth="1"/>
    <col min="8" max="8" width="10.1640625" style="6" customWidth="1"/>
    <col min="9" max="9" width="10.1640625" style="5" customWidth="1"/>
    <col min="10" max="40" width="10.83203125" style="12"/>
    <col min="41" max="16384" width="10.83203125" style="6"/>
  </cols>
  <sheetData>
    <row r="1" spans="1:40" s="8" customFormat="1">
      <c r="A1" s="5"/>
      <c r="B1" s="12"/>
      <c r="C1" s="78" t="s">
        <v>0</v>
      </c>
      <c r="F1" s="9"/>
      <c r="G1" s="9"/>
      <c r="I1" s="5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s="10" customFormat="1">
      <c r="A2" s="111"/>
      <c r="B2" s="110"/>
      <c r="C2" s="161" t="s">
        <v>3</v>
      </c>
      <c r="D2" s="161">
        <v>2023</v>
      </c>
      <c r="E2" s="161">
        <f>D2+1</f>
        <v>2024</v>
      </c>
      <c r="F2" s="161">
        <f t="shared" ref="F2:H2" si="0">E2+1</f>
        <v>2025</v>
      </c>
      <c r="G2" s="161">
        <f t="shared" si="0"/>
        <v>2026</v>
      </c>
      <c r="H2" s="161">
        <f t="shared" si="0"/>
        <v>2027</v>
      </c>
      <c r="I2" s="111"/>
      <c r="J2" s="111"/>
      <c r="K2" s="111"/>
      <c r="L2" s="111"/>
      <c r="M2" s="111"/>
      <c r="N2" s="111"/>
      <c r="O2" s="110"/>
      <c r="P2" s="110"/>
      <c r="Q2" s="110"/>
      <c r="R2" s="110"/>
      <c r="S2" s="110"/>
      <c r="T2" s="110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</row>
    <row r="3" spans="1:40" s="17" customFormat="1" hidden="1">
      <c r="A3" s="16"/>
      <c r="B3" s="16"/>
      <c r="D3" s="16">
        <v>0</v>
      </c>
      <c r="E3" s="16">
        <v>1</v>
      </c>
      <c r="F3" s="16">
        <v>2</v>
      </c>
      <c r="G3" s="16">
        <v>3</v>
      </c>
      <c r="H3" s="16">
        <v>4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</row>
    <row r="4" spans="1:40" s="14" customFormat="1">
      <c r="A4" s="1"/>
      <c r="B4" s="1"/>
      <c r="C4" s="4" t="s">
        <v>59</v>
      </c>
      <c r="D4" s="4"/>
      <c r="E4" s="4"/>
      <c r="F4" s="4"/>
      <c r="G4" s="4"/>
      <c r="H4" s="4"/>
      <c r="I4" s="17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s="3" customFormat="1">
      <c r="A5" s="1"/>
      <c r="B5" s="1"/>
      <c r="C5" s="3" t="s">
        <v>163</v>
      </c>
      <c r="D5" s="3">
        <f>Price</f>
        <v>10.277647058823529</v>
      </c>
      <c r="E5" s="3">
        <f>Price</f>
        <v>10.277647058823529</v>
      </c>
      <c r="F5" s="3">
        <f>Price</f>
        <v>10.277647058823529</v>
      </c>
      <c r="G5" s="3">
        <f>Price</f>
        <v>10.277647058823529</v>
      </c>
      <c r="H5" s="3">
        <f>Price</f>
        <v>10.277647058823529</v>
      </c>
      <c r="I5" s="172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40" s="3" customFormat="1">
      <c r="A6" s="1"/>
      <c r="B6" s="1"/>
      <c r="C6" s="3" t="s">
        <v>202</v>
      </c>
      <c r="D6" s="3">
        <f>Assumptions!$C$38</f>
        <v>6.3049999999999997</v>
      </c>
      <c r="E6" s="3">
        <f>Assumptions!$C$38</f>
        <v>6.3049999999999997</v>
      </c>
      <c r="F6" s="3">
        <f>Assumptions!$C$38</f>
        <v>6.3049999999999997</v>
      </c>
      <c r="G6" s="3">
        <f>Assumptions!$C$38</f>
        <v>6.3049999999999997</v>
      </c>
      <c r="H6" s="3">
        <f>Assumptions!$C$38</f>
        <v>6.3049999999999997</v>
      </c>
      <c r="I6" s="172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40" s="33" customFormat="1" ht="14.5">
      <c r="A7" s="29"/>
      <c r="B7" s="29"/>
      <c r="C7" s="7" t="s">
        <v>65</v>
      </c>
      <c r="D7" s="96">
        <f>Assumptions!B23</f>
        <v>200000</v>
      </c>
      <c r="E7" s="96">
        <f>Assumptions!C23</f>
        <v>300000</v>
      </c>
      <c r="F7" s="96">
        <f>Assumptions!C23</f>
        <v>300000</v>
      </c>
      <c r="G7" s="96">
        <f>Assumptions!D23</f>
        <v>400000</v>
      </c>
      <c r="H7" s="96">
        <f>Assumptions!D23</f>
        <v>400000</v>
      </c>
      <c r="I7" s="1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</row>
    <row r="8" spans="1:40" s="33" customFormat="1" ht="14.5">
      <c r="A8" s="29"/>
      <c r="B8" s="29"/>
      <c r="C8" s="7" t="s">
        <v>164</v>
      </c>
      <c r="D8" s="96">
        <f>Assumptions!B24</f>
        <v>200000</v>
      </c>
      <c r="E8" s="96">
        <f>Assumptions!C24</f>
        <v>300000</v>
      </c>
      <c r="F8" s="96">
        <f>Assumptions!C24</f>
        <v>300000</v>
      </c>
      <c r="G8" s="96">
        <f>Assumptions!D24</f>
        <v>400000</v>
      </c>
      <c r="H8" s="96">
        <f>Assumptions!D24</f>
        <v>400000</v>
      </c>
      <c r="I8" s="1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</row>
    <row r="9" spans="1:40" s="33" customFormat="1" ht="14.5">
      <c r="A9" s="29"/>
      <c r="B9" s="29"/>
      <c r="C9" s="167" t="s">
        <v>201</v>
      </c>
      <c r="D9" s="144">
        <f>(D7*Price)+(D6*D8)</f>
        <v>3316529.4117647056</v>
      </c>
      <c r="E9" s="144">
        <f>(E7*Price)+(E6*E8)</f>
        <v>4974794.1176470593</v>
      </c>
      <c r="F9" s="144">
        <f>(F7*Price)+(F6*F8)</f>
        <v>4974794.1176470593</v>
      </c>
      <c r="G9" s="144">
        <f>(G7*Price)+(G6*G8)</f>
        <v>6633058.8235294111</v>
      </c>
      <c r="H9" s="144">
        <f>(H7*Price)+(H6*H8)</f>
        <v>6633058.8235294111</v>
      </c>
      <c r="I9" s="1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</row>
    <row r="10" spans="1:40" s="31" customFormat="1" ht="14.5">
      <c r="A10" s="35"/>
      <c r="B10" s="29"/>
      <c r="C10" s="7"/>
      <c r="D10" s="7"/>
      <c r="E10" s="7"/>
      <c r="F10" s="7"/>
      <c r="G10" s="7"/>
      <c r="H10" s="7"/>
      <c r="I10" s="5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1:40" s="31" customFormat="1" ht="14.5">
      <c r="A11" s="35"/>
      <c r="B11" s="29"/>
      <c r="C11" s="4" t="s">
        <v>63</v>
      </c>
      <c r="D11" s="4"/>
      <c r="E11" s="4"/>
      <c r="F11" s="4"/>
      <c r="G11" s="4"/>
      <c r="H11" s="4"/>
      <c r="I11" s="171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spans="1:40" s="30" customFormat="1" ht="14.5">
      <c r="A12" s="35"/>
      <c r="B12" s="29"/>
      <c r="C12" s="3" t="s">
        <v>83</v>
      </c>
      <c r="D12" s="3">
        <v>2</v>
      </c>
      <c r="E12" s="3">
        <v>2</v>
      </c>
      <c r="F12" s="3">
        <v>2</v>
      </c>
      <c r="G12" s="3">
        <v>2</v>
      </c>
      <c r="H12" s="3">
        <v>2</v>
      </c>
      <c r="I12" s="1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</row>
    <row r="13" spans="1:40" s="33" customFormat="1" ht="14.5" hidden="1">
      <c r="A13" s="29"/>
      <c r="B13" s="29"/>
      <c r="C13" s="7" t="s">
        <v>72</v>
      </c>
      <c r="D13" s="7">
        <f>D7*dredging</f>
        <v>400000</v>
      </c>
      <c r="E13" s="7">
        <f>E7*dredging</f>
        <v>600000</v>
      </c>
      <c r="F13" s="7">
        <f>F7*dredging</f>
        <v>600000</v>
      </c>
      <c r="G13" s="7">
        <f>G7*dredging</f>
        <v>800000</v>
      </c>
      <c r="H13" s="7">
        <f>H7*dredging</f>
        <v>800000</v>
      </c>
      <c r="I13" s="12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1:40" s="33" customFormat="1" ht="14.5" hidden="1">
      <c r="A14" s="29"/>
      <c r="B14" s="29"/>
      <c r="C14" s="7" t="s">
        <v>167</v>
      </c>
      <c r="D14" s="7">
        <f>D8*D12</f>
        <v>400000</v>
      </c>
      <c r="E14" s="7">
        <f t="shared" ref="E14:H14" si="1">E8*E12</f>
        <v>600000</v>
      </c>
      <c r="F14" s="7">
        <f t="shared" si="1"/>
        <v>600000</v>
      </c>
      <c r="G14" s="7">
        <f t="shared" si="1"/>
        <v>800000</v>
      </c>
      <c r="H14" s="7">
        <f t="shared" si="1"/>
        <v>800000</v>
      </c>
      <c r="I14" s="12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</row>
    <row r="15" spans="1:40" s="73" customFormat="1" ht="14.5">
      <c r="A15" s="29"/>
      <c r="B15" s="29"/>
      <c r="C15" s="113" t="s">
        <v>203</v>
      </c>
      <c r="D15" s="151">
        <f>'Total cost dredging &amp; disposal '!C9</f>
        <v>-2000000</v>
      </c>
      <c r="E15" s="151">
        <f>'Total cost dredging &amp; disposal '!D9</f>
        <v>-3000000</v>
      </c>
      <c r="F15" s="151">
        <f>'Total cost dredging &amp; disposal '!E9</f>
        <v>-3000000</v>
      </c>
      <c r="G15" s="151">
        <f>'Total cost dredging &amp; disposal '!F9</f>
        <v>-4000000</v>
      </c>
      <c r="H15" s="151">
        <f>'Total cost dredging &amp; disposal '!G9</f>
        <v>-4000000</v>
      </c>
      <c r="I15" s="173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</row>
    <row r="16" spans="1:40" s="31" customFormat="1" ht="14.5">
      <c r="A16" s="35"/>
      <c r="B16" s="29"/>
      <c r="C16" s="7"/>
      <c r="D16" s="7"/>
      <c r="E16" s="7"/>
      <c r="F16" s="7"/>
      <c r="G16" s="7"/>
      <c r="H16" s="7"/>
      <c r="I16" s="5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</row>
    <row r="17" spans="1:40" s="31" customFormat="1" ht="14.5">
      <c r="A17" s="35"/>
      <c r="B17" s="29"/>
      <c r="C17" s="4" t="s">
        <v>75</v>
      </c>
      <c r="D17" s="4"/>
      <c r="E17" s="4"/>
      <c r="F17" s="4"/>
      <c r="G17" s="4"/>
      <c r="H17" s="4"/>
      <c r="I17" s="171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</row>
    <row r="18" spans="1:40" s="30" customFormat="1" ht="14.5">
      <c r="B18" s="73"/>
      <c r="C18" s="80" t="s">
        <v>71</v>
      </c>
      <c r="D18" s="148">
        <f>'Total cost dredging &amp; disposal '!C12</f>
        <v>1.18232206</v>
      </c>
      <c r="E18" s="148">
        <f>'Total cost dredging &amp; disposal '!D12</f>
        <v>1.18232206</v>
      </c>
      <c r="F18" s="148">
        <f>'Total cost dredging &amp; disposal '!E12</f>
        <v>1.18232206</v>
      </c>
      <c r="G18" s="148">
        <f>'Total cost dredging &amp; disposal '!F12</f>
        <v>1.18232206</v>
      </c>
      <c r="H18" s="148">
        <f>'Total cost dredging &amp; disposal '!G12</f>
        <v>1.18232206</v>
      </c>
      <c r="I18" s="174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</row>
    <row r="19" spans="1:40" s="31" customFormat="1" ht="14.5">
      <c r="A19" s="35"/>
      <c r="B19" s="29"/>
      <c r="C19" s="80" t="s">
        <v>187</v>
      </c>
      <c r="D19" s="150">
        <f>'Total cost dredging &amp; disposal '!C13:G13</f>
        <v>-113502.91775999998</v>
      </c>
      <c r="E19" s="150">
        <f>'Total cost dredging &amp; disposal '!D13:H13</f>
        <v>-113502.91775999998</v>
      </c>
      <c r="F19" s="150">
        <f>'Total cost dredging &amp; disposal '!E13:I13</f>
        <v>-113502.91775999998</v>
      </c>
      <c r="G19" s="150">
        <f>'Total cost dredging &amp; disposal '!F13:J13</f>
        <v>-113502.91775999998</v>
      </c>
      <c r="H19" s="150">
        <f>G19</f>
        <v>-113502.91775999998</v>
      </c>
      <c r="I19" s="173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s="31" customFormat="1" ht="14.5">
      <c r="A20" s="35"/>
      <c r="B20" s="29"/>
      <c r="C20" s="141" t="s">
        <v>198</v>
      </c>
      <c r="D20" s="147">
        <f>'Total cost dredging &amp; disposal '!C14</f>
        <v>0.06</v>
      </c>
      <c r="E20" s="147">
        <f>'Total cost dredging &amp; disposal '!D14</f>
        <v>0.06</v>
      </c>
      <c r="F20" s="147">
        <f>'Total cost dredging &amp; disposal '!E14</f>
        <v>0.06</v>
      </c>
      <c r="G20" s="147">
        <f>'Total cost dredging &amp; disposal '!F14</f>
        <v>0.06</v>
      </c>
      <c r="H20" s="147">
        <f>'Total cost dredging &amp; disposal '!G14</f>
        <v>0.06</v>
      </c>
      <c r="I20" s="175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</row>
    <row r="21" spans="1:40">
      <c r="C21" s="141" t="s">
        <v>193</v>
      </c>
      <c r="D21" s="155">
        <f>-Assumptions!$B$57</f>
        <v>-288000</v>
      </c>
      <c r="E21" s="155">
        <f>-Assumptions!$B$57</f>
        <v>-288000</v>
      </c>
      <c r="F21" s="155">
        <f>-Assumptions!$B$57</f>
        <v>-288000</v>
      </c>
      <c r="G21" s="155">
        <f>-Assumptions!$B$57</f>
        <v>-288000</v>
      </c>
      <c r="H21" s="155">
        <f>-Assumptions!$B$57</f>
        <v>-288000</v>
      </c>
      <c r="I21" s="173"/>
    </row>
    <row r="22" spans="1:40">
      <c r="C22" s="7"/>
      <c r="D22" s="160"/>
      <c r="E22" s="160"/>
      <c r="F22" s="160"/>
      <c r="G22" s="160"/>
      <c r="H22" s="160"/>
      <c r="I22" s="173"/>
    </row>
    <row r="23" spans="1:40" s="14" customFormat="1">
      <c r="A23" s="1"/>
      <c r="B23" s="1"/>
      <c r="C23" s="4" t="s">
        <v>168</v>
      </c>
      <c r="D23" s="4"/>
      <c r="E23" s="4"/>
      <c r="F23" s="4"/>
      <c r="G23" s="4"/>
      <c r="H23" s="4"/>
      <c r="I23" s="17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s="31" customFormat="1" ht="14.5">
      <c r="A24" s="35"/>
      <c r="B24" s="29"/>
      <c r="C24" s="9" t="s">
        <v>70</v>
      </c>
      <c r="D24" s="28">
        <f>maxproc</f>
        <v>0.55555555555555558</v>
      </c>
      <c r="E24" s="28">
        <f>maxproc</f>
        <v>0.55555555555555558</v>
      </c>
      <c r="F24" s="28">
        <f>maxproc</f>
        <v>0.55555555555555558</v>
      </c>
      <c r="G24" s="28">
        <f>maxproc</f>
        <v>0.55555555555555558</v>
      </c>
      <c r="H24" s="28">
        <f>maxproc</f>
        <v>0.55555555555555558</v>
      </c>
      <c r="I24" s="176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</row>
    <row r="25" spans="1:40" s="31" customFormat="1" ht="14.5">
      <c r="A25" s="35"/>
      <c r="B25" s="29"/>
      <c r="C25" s="90" t="s">
        <v>186</v>
      </c>
      <c r="D25" s="150">
        <f>-D24*(D7+D8)</f>
        <v>-222222.22222222222</v>
      </c>
      <c r="E25" s="150">
        <f>-E24*(E7+E8)</f>
        <v>-333333.33333333337</v>
      </c>
      <c r="F25" s="150">
        <f>-F24*(F7+F8)</f>
        <v>-333333.33333333337</v>
      </c>
      <c r="G25" s="150">
        <f>-G24*(G7+G8)</f>
        <v>-444444.44444444444</v>
      </c>
      <c r="H25" s="150">
        <f>-H24*(H7+H8)</f>
        <v>-444444.44444444444</v>
      </c>
      <c r="I25" s="173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</row>
    <row r="26" spans="1:40" s="36" customFormat="1" ht="14" customHeight="1">
      <c r="A26" s="112"/>
      <c r="B26" s="37"/>
      <c r="C26" s="9"/>
      <c r="D26" s="76"/>
      <c r="E26" s="76"/>
      <c r="F26" s="76"/>
      <c r="G26" s="76"/>
      <c r="H26" s="76"/>
      <c r="I26" s="111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</row>
    <row r="27" spans="1:40" s="36" customFormat="1" ht="14" customHeight="1">
      <c r="A27" s="112"/>
      <c r="B27" s="37"/>
      <c r="C27" s="4" t="s">
        <v>66</v>
      </c>
      <c r="D27" s="4"/>
      <c r="E27" s="4"/>
      <c r="F27" s="4"/>
      <c r="G27" s="4"/>
      <c r="H27" s="4"/>
      <c r="I27" s="171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</row>
    <row r="28" spans="1:40" s="36" customFormat="1" ht="14" customHeight="1">
      <c r="A28" s="112"/>
      <c r="B28" s="37"/>
      <c r="C28" s="9" t="s">
        <v>199</v>
      </c>
      <c r="D28" s="28">
        <f>Assumptions!$B$69</f>
        <v>1.8888888888888888</v>
      </c>
      <c r="E28" s="28">
        <f>Assumptions!$B$69</f>
        <v>1.8888888888888888</v>
      </c>
      <c r="F28" s="28">
        <f>Assumptions!$B$69</f>
        <v>1.8888888888888888</v>
      </c>
      <c r="G28" s="28">
        <f>Assumptions!$B$69</f>
        <v>1.8888888888888888</v>
      </c>
      <c r="H28" s="28">
        <f>Assumptions!$B$69</f>
        <v>1.8888888888888888</v>
      </c>
      <c r="I28" s="176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</row>
    <row r="29" spans="1:40" s="36" customFormat="1" ht="14" customHeight="1">
      <c r="A29" s="112"/>
      <c r="B29" s="37"/>
      <c r="C29" s="90" t="s">
        <v>173</v>
      </c>
      <c r="D29" s="150">
        <f>-D28*(D7+D8)</f>
        <v>-755555.5555555555</v>
      </c>
      <c r="E29" s="150">
        <f>-E28*(E7+E8)</f>
        <v>-1133333.3333333333</v>
      </c>
      <c r="F29" s="150">
        <f>-F28*(F7+F8)</f>
        <v>-1133333.3333333333</v>
      </c>
      <c r="G29" s="150">
        <f>-G28*(G7+G8)</f>
        <v>-1511111.111111111</v>
      </c>
      <c r="H29" s="150">
        <f>-H28*(H7+H8)</f>
        <v>-1511111.111111111</v>
      </c>
      <c r="I29" s="173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</row>
    <row r="30" spans="1:40" s="36" customFormat="1" ht="14" customHeight="1">
      <c r="A30" s="112"/>
      <c r="B30" s="37"/>
      <c r="C30" s="9"/>
      <c r="D30" s="162"/>
      <c r="E30" s="162"/>
      <c r="F30" s="162"/>
      <c r="G30" s="162"/>
      <c r="H30" s="162"/>
      <c r="I30" s="17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</row>
    <row r="31" spans="1:40" s="36" customFormat="1" ht="14" customHeight="1">
      <c r="A31" s="112"/>
      <c r="B31" s="37"/>
      <c r="C31" s="4" t="s">
        <v>74</v>
      </c>
      <c r="D31" s="4"/>
      <c r="E31" s="4"/>
      <c r="F31" s="4"/>
      <c r="G31" s="4"/>
      <c r="H31" s="4"/>
      <c r="I31" s="171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</row>
    <row r="32" spans="1:40" s="116" customFormat="1" ht="14" customHeight="1">
      <c r="A32" s="114"/>
      <c r="B32" s="115"/>
      <c r="C32" s="9" t="s">
        <v>190</v>
      </c>
      <c r="D32" s="160">
        <f>'Total cost dredging &amp; disposal '!C18</f>
        <v>-2401502.9177600001</v>
      </c>
      <c r="E32" s="160">
        <f>'Total cost dredging &amp; disposal '!D18</f>
        <v>-3401502.9177600001</v>
      </c>
      <c r="F32" s="160">
        <f>'Total cost dredging &amp; disposal '!E18</f>
        <v>-3401502.9177600001</v>
      </c>
      <c r="G32" s="160">
        <f>'Total cost dredging &amp; disposal '!F18</f>
        <v>-4401502.9177599996</v>
      </c>
      <c r="H32" s="160">
        <f>'Total cost dredging &amp; disposal '!G18</f>
        <v>-4401502.9177599996</v>
      </c>
      <c r="I32" s="178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</row>
    <row r="33" spans="1:40" s="36" customFormat="1" ht="14" customHeight="1">
      <c r="A33" s="112"/>
      <c r="B33" s="37"/>
      <c r="C33" s="9" t="s">
        <v>189</v>
      </c>
      <c r="D33" s="160">
        <f>D25+D29</f>
        <v>-977777.77777777775</v>
      </c>
      <c r="E33" s="160">
        <f>E25+E29</f>
        <v>-1466666.6666666665</v>
      </c>
      <c r="F33" s="160">
        <f>F25+F29</f>
        <v>-1466666.6666666665</v>
      </c>
      <c r="G33" s="160">
        <f>G25+G29</f>
        <v>-1955555.5555555555</v>
      </c>
      <c r="H33" s="160">
        <f>H25+H29</f>
        <v>-1955555.5555555555</v>
      </c>
      <c r="I33" s="178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</row>
    <row r="34" spans="1:40" s="36" customFormat="1" ht="14" customHeight="1">
      <c r="A34" s="112"/>
      <c r="B34" s="37"/>
      <c r="C34" s="90" t="s">
        <v>188</v>
      </c>
      <c r="D34" s="150">
        <f>D15+D19+D21+D25+D29</f>
        <v>-3379280.6955377776</v>
      </c>
      <c r="E34" s="150">
        <f>E15+E19+E21+E25+E29</f>
        <v>-4868169.5844266666</v>
      </c>
      <c r="F34" s="150">
        <f>F15+F19+F21+F25+F29</f>
        <v>-4868169.5844266666</v>
      </c>
      <c r="G34" s="150">
        <f>G15+G19+G21+G25+G29</f>
        <v>-6357058.4733155547</v>
      </c>
      <c r="H34" s="150">
        <f>H15+H19+H21+H25+H29</f>
        <v>-6357058.4733155547</v>
      </c>
      <c r="I34" s="173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</row>
    <row r="35" spans="1:40" s="36" customFormat="1" ht="14" customHeight="1">
      <c r="A35" s="112"/>
      <c r="B35" s="37"/>
      <c r="C35" s="9"/>
      <c r="D35" s="76"/>
      <c r="E35" s="76"/>
      <c r="F35" s="76"/>
      <c r="G35" s="76"/>
      <c r="H35" s="76"/>
      <c r="I35" s="111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</row>
    <row r="36" spans="1:40" s="14" customFormat="1">
      <c r="A36" s="1"/>
      <c r="B36" s="1"/>
      <c r="C36" s="4" t="s">
        <v>200</v>
      </c>
      <c r="D36" s="4"/>
      <c r="E36" s="4"/>
      <c r="F36" s="4"/>
      <c r="G36" s="4"/>
      <c r="H36" s="4"/>
      <c r="I36" s="17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s="14" customFormat="1" ht="19" customHeight="1">
      <c r="A37" s="1"/>
      <c r="B37" s="1"/>
      <c r="C37" s="163" t="s">
        <v>205</v>
      </c>
      <c r="D37" s="160">
        <f>D9+D25+D29</f>
        <v>2338751.633986928</v>
      </c>
      <c r="E37" s="160">
        <f>E9+E25+E29</f>
        <v>3508127.4509803932</v>
      </c>
      <c r="F37" s="160">
        <f>F9+F25+F29</f>
        <v>3508127.4509803932</v>
      </c>
      <c r="G37" s="160">
        <f>G9+G25+G29</f>
        <v>4677503.2679738561</v>
      </c>
      <c r="H37" s="160">
        <f>H9+H25+H29</f>
        <v>4677503.2679738561</v>
      </c>
      <c r="I37" s="17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s="14" customFormat="1" hidden="1">
      <c r="A38" s="1"/>
      <c r="B38" s="1"/>
      <c r="C38" s="169" t="s">
        <v>204</v>
      </c>
      <c r="D38" s="168">
        <f>D37/D9</f>
        <v>0.70518042918319612</v>
      </c>
      <c r="E38" s="168">
        <f t="shared" ref="E38:H38" si="2">E37/E9</f>
        <v>0.70518042918319623</v>
      </c>
      <c r="F38" s="168">
        <f t="shared" si="2"/>
        <v>0.70518042918319623</v>
      </c>
      <c r="G38" s="168">
        <f t="shared" si="2"/>
        <v>0.70518042918319612</v>
      </c>
      <c r="H38" s="168">
        <f t="shared" si="2"/>
        <v>0.70518042918319612</v>
      </c>
      <c r="I38" s="17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s="3" customFormat="1" ht="29" customHeight="1">
      <c r="C39" s="166" t="s">
        <v>206</v>
      </c>
      <c r="D39" s="150">
        <f>D9+D15+D19+D21+D25+D29</f>
        <v>-62751.283773072297</v>
      </c>
      <c r="E39" s="150">
        <f>E9+E15+E19+E21+E25+E29</f>
        <v>106624.53322039242</v>
      </c>
      <c r="F39" s="150">
        <f>F9+F15+F19+F21+F25+F29</f>
        <v>106624.53322039242</v>
      </c>
      <c r="G39" s="150">
        <f>G9+G15+G19+G21+G25+G29</f>
        <v>276000.3502138555</v>
      </c>
      <c r="H39" s="150">
        <f>H9+H15+H19+H21+H25+H29</f>
        <v>276000.3502138555</v>
      </c>
      <c r="I39" s="179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40" s="31" customFormat="1" ht="14.5">
      <c r="A40" s="35"/>
      <c r="B40" s="29"/>
      <c r="C40" s="33"/>
      <c r="D40" s="33"/>
      <c r="E40" s="33"/>
      <c r="F40" s="33"/>
      <c r="G40" s="33"/>
      <c r="H40" s="33"/>
      <c r="I40" s="35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</row>
    <row r="41" spans="1:40" s="31" customFormat="1" ht="14.5">
      <c r="A41" s="35"/>
      <c r="B41" s="29"/>
      <c r="C41" s="164" t="s">
        <v>3</v>
      </c>
      <c r="D41" s="165">
        <v>2023</v>
      </c>
      <c r="E41" s="165">
        <f>D41+1</f>
        <v>2024</v>
      </c>
      <c r="F41" s="165">
        <f t="shared" ref="F41" si="3">E41+1</f>
        <v>2025</v>
      </c>
      <c r="G41" s="165">
        <f t="shared" ref="G41" si="4">F41+1</f>
        <v>2026</v>
      </c>
      <c r="H41" s="165">
        <f t="shared" ref="H41" si="5">G41+1</f>
        <v>2027</v>
      </c>
      <c r="I41" s="180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</row>
    <row r="42" spans="1:40" s="31" customFormat="1" ht="19" customHeight="1">
      <c r="A42" s="35"/>
      <c r="B42" s="29"/>
      <c r="C42" s="145" t="s">
        <v>220</v>
      </c>
      <c r="D42" s="146">
        <f>-D37/'Total cost dredging &amp; disposal '!C18</f>
        <v>0.97386999478159986</v>
      </c>
      <c r="E42" s="146">
        <f>-E37/'Total cost dredging &amp; disposal '!D18</f>
        <v>1.031346300678939</v>
      </c>
      <c r="F42" s="146">
        <f>-F37/'Total cost dredging &amp; disposal '!E18</f>
        <v>1.031346300678939</v>
      </c>
      <c r="G42" s="146">
        <f>-G37/'Total cost dredging &amp; disposal '!F18</f>
        <v>1.0627059337164584</v>
      </c>
      <c r="H42" s="146">
        <f>-H37/'Total cost dredging &amp; disposal '!G18</f>
        <v>1.0627059337164584</v>
      </c>
      <c r="I42" s="236" t="s">
        <v>0</v>
      </c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</row>
    <row r="43" spans="1:40" s="31" customFormat="1" ht="14.5">
      <c r="A43" s="35"/>
      <c r="B43" s="29"/>
      <c r="C43" s="77"/>
      <c r="D43" s="32"/>
      <c r="E43" s="32"/>
      <c r="F43" s="32"/>
      <c r="G43" s="32"/>
      <c r="H43" s="32"/>
      <c r="I43" s="237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</row>
    <row r="44" spans="1:40" s="36" customFormat="1" ht="15.5">
      <c r="A44" s="112"/>
      <c r="B44" s="37"/>
      <c r="C44" s="77"/>
      <c r="D44" s="221"/>
      <c r="E44" s="36" t="s">
        <v>0</v>
      </c>
      <c r="I44" s="112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</row>
    <row r="45" spans="1:40" s="31" customFormat="1" ht="14.5">
      <c r="A45" s="35"/>
      <c r="B45" s="29"/>
      <c r="C45" s="77" t="s">
        <v>0</v>
      </c>
      <c r="D45" s="31" t="s">
        <v>0</v>
      </c>
      <c r="E45" s="31" t="s">
        <v>0</v>
      </c>
      <c r="I45" s="35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</row>
    <row r="46" spans="1:40" s="31" customFormat="1" ht="14.5">
      <c r="A46" s="35"/>
      <c r="B46" s="29"/>
      <c r="C46" s="77"/>
      <c r="F46" s="32"/>
      <c r="G46" s="32"/>
      <c r="H46" s="32"/>
      <c r="I46" s="181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</row>
    <row r="47" spans="1:40" s="31" customFormat="1" ht="14.5">
      <c r="A47" s="35"/>
      <c r="B47" s="29"/>
      <c r="C47" s="77"/>
      <c r="D47" s="32"/>
      <c r="E47" s="32"/>
      <c r="F47" s="32"/>
      <c r="G47" s="32"/>
      <c r="H47" s="32"/>
      <c r="I47" s="181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</row>
  </sheetData>
  <phoneticPr fontId="16" type="noConversion"/>
  <pageMargins left="0.75000000000000011" right="0.75000000000000011" top="1" bottom="1" header="0.5" footer="0.5"/>
  <pageSetup paperSize="0" scale="75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724AC-F420-6D4E-9931-AAAC1E65C83C}">
  <dimension ref="A1:AX23"/>
  <sheetViews>
    <sheetView zoomScale="114" workbookViewId="0">
      <selection activeCell="B31" sqref="B31"/>
    </sheetView>
  </sheetViews>
  <sheetFormatPr defaultColWidth="10.83203125" defaultRowHeight="14"/>
  <cols>
    <col min="1" max="1" width="7" style="12" customWidth="1"/>
    <col min="2" max="2" width="58.6640625" style="6" customWidth="1"/>
    <col min="3" max="3" width="17" style="6" customWidth="1"/>
    <col min="4" max="4" width="13.1640625" style="6" customWidth="1"/>
    <col min="5" max="5" width="12.1640625" style="7" customWidth="1"/>
    <col min="6" max="6" width="13.1640625" style="7" customWidth="1"/>
    <col min="7" max="7" width="11.5" style="6" customWidth="1"/>
    <col min="8" max="8" width="11.6640625" style="6" customWidth="1"/>
    <col min="9" max="9" width="10.83203125" style="6"/>
    <col min="10" max="16" width="12.6640625" style="6" customWidth="1"/>
    <col min="17" max="17" width="12.5" style="6" customWidth="1"/>
    <col min="18" max="18" width="13.5" style="89" customWidth="1"/>
    <col min="19" max="50" width="10.83203125" style="12"/>
    <col min="51" max="16384" width="10.83203125" style="6"/>
  </cols>
  <sheetData>
    <row r="1" spans="1:50" s="8" customFormat="1">
      <c r="A1" s="9"/>
      <c r="B1" s="78" t="s">
        <v>0</v>
      </c>
      <c r="E1" s="9"/>
      <c r="F1" s="9"/>
      <c r="R1" s="81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</row>
    <row r="2" spans="1:50" s="10" customFormat="1">
      <c r="A2" s="25"/>
      <c r="B2" s="79" t="s">
        <v>3</v>
      </c>
      <c r="C2" s="34">
        <v>2023</v>
      </c>
      <c r="D2" s="34">
        <f>C2+1</f>
        <v>2024</v>
      </c>
      <c r="E2" s="34">
        <f t="shared" ref="E2:G2" si="0">D2+1</f>
        <v>2025</v>
      </c>
      <c r="F2" s="34">
        <f t="shared" si="0"/>
        <v>2026</v>
      </c>
      <c r="G2" s="34">
        <f t="shared" si="0"/>
        <v>2027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82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1:50" s="109" customFormat="1">
      <c r="A3" s="106"/>
      <c r="B3" s="107" t="s">
        <v>3</v>
      </c>
      <c r="C3" s="106">
        <v>0</v>
      </c>
      <c r="D3" s="106">
        <v>1</v>
      </c>
      <c r="E3" s="106">
        <v>2</v>
      </c>
      <c r="F3" s="106">
        <v>3</v>
      </c>
      <c r="G3" s="106">
        <v>4</v>
      </c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8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</row>
    <row r="4" spans="1:50" s="14" customFormat="1">
      <c r="A4" s="1"/>
      <c r="B4" s="2" t="s">
        <v>81</v>
      </c>
      <c r="C4" s="2"/>
      <c r="D4" s="2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>
      <c r="A5" s="3" t="s">
        <v>0</v>
      </c>
      <c r="B5" s="113" t="s">
        <v>82</v>
      </c>
      <c r="C5" s="113">
        <f>Assumptions!B22</f>
        <v>1000000</v>
      </c>
      <c r="D5" s="105">
        <f>Assumptions!C22</f>
        <v>1500000</v>
      </c>
      <c r="E5" s="105">
        <f>Assumptions!C22</f>
        <v>1500000</v>
      </c>
      <c r="F5" s="105">
        <f>Assumptions!D22</f>
        <v>2000000</v>
      </c>
      <c r="G5" s="113">
        <f>Assumptions!D22</f>
        <v>2000000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84"/>
    </row>
    <row r="6" spans="1:50" s="31" customFormat="1" ht="14.5">
      <c r="A6" s="29"/>
      <c r="B6" s="6"/>
      <c r="C6" s="6"/>
      <c r="D6" s="6"/>
      <c r="E6" s="6"/>
      <c r="F6" s="6"/>
      <c r="G6" s="6"/>
      <c r="R6" s="86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1:50" s="31" customFormat="1" ht="14.5">
      <c r="A7" s="29"/>
      <c r="B7" s="2" t="s">
        <v>85</v>
      </c>
      <c r="C7" s="2"/>
      <c r="D7" s="2"/>
      <c r="E7" s="4"/>
      <c r="F7" s="4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83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</row>
    <row r="8" spans="1:50" s="30" customFormat="1" ht="14.5">
      <c r="A8" s="73" t="s">
        <v>0</v>
      </c>
      <c r="B8" s="113" t="s">
        <v>83</v>
      </c>
      <c r="C8" s="159">
        <v>2</v>
      </c>
      <c r="D8" s="159">
        <v>2</v>
      </c>
      <c r="E8" s="159">
        <v>2</v>
      </c>
      <c r="F8" s="159">
        <v>2</v>
      </c>
      <c r="G8" s="159">
        <v>2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84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</row>
    <row r="9" spans="1:50" s="73" customFormat="1" ht="14.5">
      <c r="A9" s="73" t="s">
        <v>0</v>
      </c>
      <c r="B9" s="113" t="s">
        <v>73</v>
      </c>
      <c r="C9" s="151">
        <f>-C8*C5</f>
        <v>-2000000</v>
      </c>
      <c r="D9" s="151">
        <f>-D8*D5</f>
        <v>-3000000</v>
      </c>
      <c r="E9" s="151">
        <f>-E8*E5</f>
        <v>-3000000</v>
      </c>
      <c r="F9" s="151">
        <f>-F8*F5</f>
        <v>-4000000</v>
      </c>
      <c r="G9" s="151">
        <f>-G8*G5</f>
        <v>-4000000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</row>
    <row r="10" spans="1:50" s="31" customFormat="1" ht="14.5">
      <c r="A10" s="29"/>
      <c r="B10" s="6"/>
      <c r="C10" s="149"/>
      <c r="D10" s="149"/>
      <c r="E10" s="149"/>
      <c r="F10" s="149"/>
      <c r="G10" s="149"/>
      <c r="R10" s="86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1:50" s="31" customFormat="1" ht="14.5">
      <c r="A11" s="29"/>
      <c r="B11" s="2" t="s">
        <v>84</v>
      </c>
      <c r="C11" s="152"/>
      <c r="D11" s="152"/>
      <c r="E11" s="153"/>
      <c r="F11" s="153"/>
      <c r="G11" s="152"/>
      <c r="H11" s="2"/>
      <c r="I11" s="2"/>
      <c r="J11" s="2"/>
      <c r="K11" s="2"/>
      <c r="L11" s="2"/>
      <c r="M11" s="2"/>
      <c r="N11" s="2"/>
      <c r="O11" s="2"/>
      <c r="P11" s="2"/>
      <c r="Q11" s="2"/>
      <c r="R11" s="83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1:50" s="30" customFormat="1" ht="14.5">
      <c r="A12" s="73"/>
      <c r="B12" s="13" t="s">
        <v>157</v>
      </c>
      <c r="C12" s="158">
        <f>Assumptions!$B$53</f>
        <v>1.18232206</v>
      </c>
      <c r="D12" s="158">
        <f>Assumptions!$B$53</f>
        <v>1.18232206</v>
      </c>
      <c r="E12" s="158">
        <f>Assumptions!$B$53</f>
        <v>1.18232206</v>
      </c>
      <c r="F12" s="158">
        <f>Assumptions!$B$53</f>
        <v>1.18232206</v>
      </c>
      <c r="G12" s="158">
        <f>Assumptions!$B$53</f>
        <v>1.18232206</v>
      </c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95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</row>
    <row r="13" spans="1:50" s="31" customFormat="1" ht="14.5">
      <c r="A13" s="29" t="s">
        <v>0</v>
      </c>
      <c r="B13" s="141" t="s">
        <v>221</v>
      </c>
      <c r="C13" s="155">
        <f>-Assumptions!$C$55</f>
        <v>-113502.91775999998</v>
      </c>
      <c r="D13" s="155">
        <f>-Assumptions!$C$55</f>
        <v>-113502.91775999998</v>
      </c>
      <c r="E13" s="155">
        <f>-Assumptions!$C$55</f>
        <v>-113502.91775999998</v>
      </c>
      <c r="F13" s="155">
        <f>-Assumptions!$C$55</f>
        <v>-113502.91775999998</v>
      </c>
      <c r="G13" s="155">
        <f>-Assumptions!$C$55</f>
        <v>-113502.91775999998</v>
      </c>
      <c r="H13" s="75"/>
      <c r="I13" s="75" t="s">
        <v>0</v>
      </c>
      <c r="J13" s="75"/>
      <c r="K13" s="75"/>
      <c r="L13" s="75"/>
      <c r="M13" s="75"/>
      <c r="N13" s="75"/>
      <c r="O13" s="75"/>
      <c r="P13" s="75"/>
      <c r="Q13" s="75"/>
      <c r="R13" s="87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1:50" s="31" customFormat="1" ht="14.5">
      <c r="A14" s="29"/>
      <c r="B14" s="80" t="s">
        <v>86</v>
      </c>
      <c r="C14" s="157">
        <f>Assumptions!$B$56</f>
        <v>0.06</v>
      </c>
      <c r="D14" s="157">
        <f>Assumptions!$B$56</f>
        <v>0.06</v>
      </c>
      <c r="E14" s="157">
        <f>Assumptions!$B$56</f>
        <v>0.06</v>
      </c>
      <c r="F14" s="157">
        <f>Assumptions!$B$56</f>
        <v>0.06</v>
      </c>
      <c r="G14" s="157">
        <f>Assumptions!$B$56</f>
        <v>0.06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87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1:50" s="31" customFormat="1" ht="14.5">
      <c r="A15" s="29" t="s">
        <v>0</v>
      </c>
      <c r="B15" s="80" t="s">
        <v>197</v>
      </c>
      <c r="C15" s="150">
        <f>-Assumptions!$B$57</f>
        <v>-288000</v>
      </c>
      <c r="D15" s="150">
        <f>-Assumptions!$B$57</f>
        <v>-288000</v>
      </c>
      <c r="E15" s="150">
        <f>-Assumptions!$B$57</f>
        <v>-288000</v>
      </c>
      <c r="F15" s="150">
        <f>-Assumptions!$B$57</f>
        <v>-288000</v>
      </c>
      <c r="G15" s="150">
        <f>-Assumptions!$B$57</f>
        <v>-288000</v>
      </c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87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1:50" s="8" customFormat="1">
      <c r="A16" s="12"/>
      <c r="C16" s="154"/>
      <c r="D16" s="154"/>
      <c r="E16" s="154"/>
      <c r="F16" s="154"/>
      <c r="G16" s="154"/>
      <c r="R16" s="81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</row>
    <row r="17" spans="1:50" s="36" customFormat="1" ht="14" customHeight="1">
      <c r="A17" s="37"/>
      <c r="B17" s="2" t="s">
        <v>74</v>
      </c>
      <c r="C17" s="152"/>
      <c r="D17" s="152"/>
      <c r="E17" s="153"/>
      <c r="F17" s="153"/>
      <c r="G17" s="152"/>
      <c r="H17" s="2"/>
      <c r="I17" s="2"/>
      <c r="J17" s="2"/>
      <c r="K17" s="2"/>
      <c r="L17" s="2"/>
      <c r="M17" s="2"/>
      <c r="N17" s="2"/>
      <c r="O17" s="2"/>
      <c r="P17" s="2"/>
      <c r="Q17" s="2"/>
      <c r="R17" s="8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</row>
    <row r="18" spans="1:50" s="36" customFormat="1" ht="19" customHeight="1">
      <c r="A18" s="37" t="s">
        <v>0</v>
      </c>
      <c r="B18" s="143" t="s">
        <v>162</v>
      </c>
      <c r="C18" s="156">
        <f>C9+C13+C15</f>
        <v>-2401502.9177600001</v>
      </c>
      <c r="D18" s="156">
        <f>D9+D13+D15</f>
        <v>-3401502.9177600001</v>
      </c>
      <c r="E18" s="156">
        <f>E9+E13+E15</f>
        <v>-3401502.9177600001</v>
      </c>
      <c r="F18" s="156">
        <f>F9+F13+F15</f>
        <v>-4401502.9177599996</v>
      </c>
      <c r="G18" s="156">
        <f>G9+G13+G15</f>
        <v>-4401502.9177599996</v>
      </c>
      <c r="R18" s="88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</row>
    <row r="19" spans="1:50" s="36" customFormat="1" ht="14" customHeight="1">
      <c r="A19" s="37"/>
      <c r="B19" s="8"/>
      <c r="C19" s="11"/>
      <c r="D19" s="11"/>
      <c r="E19" s="11"/>
      <c r="F19" s="11"/>
      <c r="G19" s="11"/>
      <c r="R19" s="88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</row>
    <row r="20" spans="1:50" s="36" customFormat="1" ht="14.5">
      <c r="A20" s="37"/>
      <c r="B20" s="77"/>
      <c r="R20" s="88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</row>
    <row r="21" spans="1:50" s="31" customFormat="1" ht="14.5">
      <c r="A21" s="29"/>
      <c r="B21" s="77"/>
      <c r="R21" s="86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s="31" customFormat="1" ht="14.5">
      <c r="A22" s="29"/>
      <c r="B22" s="77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85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s="31" customFormat="1" ht="14.5">
      <c r="A23" s="29"/>
      <c r="B23" s="77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85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0"/>
  <sheetViews>
    <sheetView topLeftCell="A30" zoomScaleNormal="218" zoomScalePageLayoutView="150" workbookViewId="0">
      <selection activeCell="A70" sqref="A70"/>
    </sheetView>
  </sheetViews>
  <sheetFormatPr defaultColWidth="10.6640625" defaultRowHeight="15.5"/>
  <cols>
    <col min="1" max="1" width="48.6640625" customWidth="1"/>
    <col min="2" max="2" width="17.83203125" customWidth="1"/>
    <col min="3" max="3" width="17" customWidth="1"/>
    <col min="4" max="4" width="12.5" customWidth="1"/>
    <col min="5" max="5" width="13.5" style="22" customWidth="1"/>
    <col min="6" max="6" width="12.33203125" style="22" customWidth="1"/>
    <col min="7" max="7" width="11.33203125" style="26" customWidth="1"/>
    <col min="8" max="8" width="15" customWidth="1"/>
    <col min="9" max="9" width="26.33203125" customWidth="1"/>
    <col min="10" max="10" width="13.33203125" customWidth="1"/>
    <col min="11" max="11" width="9.33203125" customWidth="1"/>
    <col min="12" max="12" width="8" customWidth="1"/>
    <col min="13" max="20" width="10.83203125" style="20"/>
  </cols>
  <sheetData>
    <row r="1" spans="1:20" s="42" customFormat="1">
      <c r="A1" s="185" t="s">
        <v>10</v>
      </c>
      <c r="B1" s="185"/>
      <c r="C1" s="185"/>
      <c r="D1" s="185" t="s">
        <v>0</v>
      </c>
      <c r="E1" s="185"/>
      <c r="F1" s="185"/>
      <c r="G1" s="185"/>
      <c r="H1" s="52" t="s">
        <v>2</v>
      </c>
      <c r="I1" s="53"/>
      <c r="J1" s="53"/>
      <c r="K1" s="53" t="str">
        <f>D1</f>
        <v xml:space="preserve"> </v>
      </c>
      <c r="L1" s="40"/>
      <c r="M1" s="41"/>
      <c r="N1" s="41"/>
      <c r="O1" s="41"/>
      <c r="P1" s="41"/>
      <c r="Q1" s="41"/>
      <c r="R1" s="41"/>
      <c r="S1" s="41"/>
      <c r="T1" s="41"/>
    </row>
    <row r="2" spans="1:20" s="44" customFormat="1" ht="17" customHeight="1">
      <c r="A2" s="186" t="s">
        <v>15</v>
      </c>
      <c r="B2" s="240"/>
      <c r="C2" s="240"/>
      <c r="D2" s="187"/>
      <c r="E2" s="187"/>
      <c r="F2" s="187"/>
      <c r="G2" s="187"/>
      <c r="H2" s="238" t="str">
        <f>A2</f>
        <v>Convesion factors</v>
      </c>
      <c r="I2" s="238"/>
      <c r="J2" s="238"/>
      <c r="K2" s="239"/>
      <c r="L2" s="43"/>
    </row>
    <row r="3" spans="1:20" s="21" customFormat="1" ht="17" customHeight="1">
      <c r="A3" s="129" t="s">
        <v>229</v>
      </c>
      <c r="B3" s="129">
        <v>1.8</v>
      </c>
      <c r="C3" s="129" t="s">
        <v>7</v>
      </c>
      <c r="D3" s="188" t="s">
        <v>0</v>
      </c>
      <c r="E3" s="129"/>
      <c r="G3" s="129"/>
      <c r="H3" s="23"/>
      <c r="I3" s="54" t="s">
        <v>4</v>
      </c>
      <c r="J3" s="55"/>
      <c r="K3" s="23" t="s">
        <v>0</v>
      </c>
      <c r="L3" s="21" t="s">
        <v>0</v>
      </c>
      <c r="M3" s="19"/>
      <c r="N3" s="19"/>
      <c r="O3" s="19"/>
      <c r="P3" s="19"/>
      <c r="Q3" s="19"/>
      <c r="R3" s="19"/>
      <c r="S3" s="19"/>
      <c r="T3" s="19"/>
    </row>
    <row r="4" spans="1:20" s="21" customFormat="1" ht="17" customHeight="1">
      <c r="A4" s="129" t="s">
        <v>228</v>
      </c>
      <c r="B4" s="133">
        <f>1/1.8</f>
        <v>0.55555555555555558</v>
      </c>
      <c r="C4" s="189" t="s">
        <v>22</v>
      </c>
      <c r="D4" s="129"/>
      <c r="E4" s="129"/>
      <c r="F4" s="129"/>
      <c r="G4" s="129"/>
      <c r="H4" s="23"/>
      <c r="I4" s="54"/>
      <c r="J4" s="55"/>
      <c r="K4" s="23"/>
      <c r="M4" s="19"/>
      <c r="N4" s="19"/>
      <c r="O4" s="19"/>
      <c r="P4" s="19"/>
      <c r="Q4" s="19"/>
      <c r="R4" s="19"/>
      <c r="S4" s="19"/>
      <c r="T4" s="19"/>
    </row>
    <row r="5" spans="1:20" s="21" customFormat="1" ht="17" customHeight="1">
      <c r="A5" s="129" t="s">
        <v>226</v>
      </c>
      <c r="B5" s="190">
        <v>1.4</v>
      </c>
      <c r="C5" s="189" t="s">
        <v>49</v>
      </c>
      <c r="D5" s="129"/>
      <c r="E5" s="129"/>
      <c r="F5" s="129"/>
      <c r="G5" s="129"/>
      <c r="H5" s="23"/>
      <c r="I5" s="54"/>
      <c r="J5" s="55"/>
      <c r="K5" s="23"/>
      <c r="M5" s="19"/>
      <c r="N5" s="19"/>
      <c r="O5" s="19"/>
      <c r="P5" s="19"/>
      <c r="Q5" s="19"/>
      <c r="R5" s="19"/>
      <c r="S5" s="19"/>
      <c r="T5" s="19"/>
    </row>
    <row r="6" spans="1:20" s="21" customFormat="1" ht="17" customHeight="1">
      <c r="A6" s="129" t="s">
        <v>227</v>
      </c>
      <c r="B6" s="133">
        <f>1/1.4</f>
        <v>0.7142857142857143</v>
      </c>
      <c r="C6" s="189" t="s">
        <v>170</v>
      </c>
      <c r="D6" s="129"/>
      <c r="E6" s="129"/>
      <c r="F6" s="129"/>
      <c r="G6" s="129"/>
      <c r="H6" s="23"/>
      <c r="I6" s="54"/>
      <c r="J6" s="55"/>
      <c r="K6" s="23"/>
      <c r="M6" s="19"/>
      <c r="N6" s="19"/>
      <c r="O6" s="19"/>
      <c r="P6" s="19"/>
      <c r="Q6" s="19"/>
      <c r="R6" s="19"/>
      <c r="S6" s="19"/>
      <c r="T6" s="19"/>
    </row>
    <row r="7" spans="1:20" s="21" customFormat="1" ht="17" customHeight="1">
      <c r="A7" s="129" t="s">
        <v>212</v>
      </c>
      <c r="B7" s="133">
        <v>1.5</v>
      </c>
      <c r="C7" s="189"/>
      <c r="D7" s="129"/>
      <c r="E7" s="129"/>
      <c r="F7" s="129"/>
      <c r="G7" s="129"/>
      <c r="H7" s="23"/>
      <c r="I7" s="54"/>
      <c r="J7" s="55"/>
      <c r="K7" s="23"/>
      <c r="M7" s="19"/>
      <c r="N7" s="19"/>
      <c r="O7" s="19"/>
      <c r="P7" s="19"/>
      <c r="Q7" s="19"/>
      <c r="R7" s="19"/>
      <c r="S7" s="19"/>
      <c r="T7" s="19"/>
    </row>
    <row r="8" spans="1:20" s="21" customFormat="1" ht="17" customHeight="1">
      <c r="A8" s="129" t="s">
        <v>225</v>
      </c>
      <c r="B8" s="133">
        <v>0.76455499999999998</v>
      </c>
      <c r="C8" s="189"/>
      <c r="D8" s="129"/>
      <c r="E8" s="129"/>
      <c r="F8" s="129"/>
      <c r="G8" s="129"/>
      <c r="H8" s="23"/>
      <c r="I8" s="54"/>
      <c r="J8" s="55"/>
      <c r="K8" s="23"/>
      <c r="M8" s="19"/>
      <c r="N8" s="19"/>
      <c r="O8" s="19"/>
      <c r="P8" s="19"/>
      <c r="Q8" s="19"/>
      <c r="R8" s="19"/>
      <c r="S8" s="19"/>
      <c r="T8" s="19"/>
    </row>
    <row r="9" spans="1:20" s="21" customFormat="1" ht="17" customHeight="1">
      <c r="A9" s="129" t="s">
        <v>80</v>
      </c>
      <c r="B9" s="133">
        <v>0.2</v>
      </c>
      <c r="C9" s="189"/>
      <c r="D9" s="129"/>
      <c r="E9" s="129"/>
      <c r="F9" s="129"/>
      <c r="G9" s="129"/>
      <c r="H9" s="23"/>
      <c r="I9" s="54"/>
      <c r="J9" s="55"/>
      <c r="K9" s="23"/>
      <c r="M9" s="19"/>
      <c r="N9" s="19"/>
      <c r="O9" s="19"/>
      <c r="P9" s="19"/>
      <c r="Q9" s="19"/>
      <c r="R9" s="19"/>
      <c r="S9" s="19"/>
      <c r="T9" s="19"/>
    </row>
    <row r="10" spans="1:20" s="21" customFormat="1" ht="17" customHeight="1">
      <c r="A10" s="129" t="s">
        <v>207</v>
      </c>
      <c r="B10" s="133">
        <v>0.2</v>
      </c>
      <c r="C10" s="189"/>
      <c r="D10" s="129"/>
      <c r="E10" s="129"/>
      <c r="F10" s="129"/>
      <c r="G10" s="129"/>
      <c r="H10" s="23"/>
      <c r="I10" s="54"/>
      <c r="J10" s="55"/>
      <c r="K10" s="23"/>
      <c r="M10" s="19"/>
      <c r="N10" s="19"/>
      <c r="O10" s="19"/>
      <c r="P10" s="19"/>
      <c r="Q10" s="19"/>
      <c r="R10" s="19"/>
      <c r="S10" s="19"/>
      <c r="T10" s="19"/>
    </row>
    <row r="11" spans="1:20" s="21" customFormat="1" ht="17" customHeight="1">
      <c r="A11" s="129" t="s">
        <v>215</v>
      </c>
      <c r="B11" s="133">
        <v>0.7</v>
      </c>
      <c r="C11" s="189"/>
      <c r="D11" s="129"/>
      <c r="E11" s="129"/>
      <c r="F11" s="129"/>
      <c r="G11" s="129"/>
      <c r="H11" s="23"/>
      <c r="I11" s="54"/>
      <c r="J11" s="55"/>
      <c r="K11" s="23"/>
      <c r="M11" s="19"/>
      <c r="N11" s="19"/>
      <c r="O11" s="19"/>
      <c r="P11" s="19"/>
      <c r="Q11" s="19"/>
      <c r="R11" s="19"/>
      <c r="S11" s="19"/>
      <c r="T11" s="19"/>
    </row>
    <row r="12" spans="1:20" s="21" customFormat="1" ht="17" customHeight="1">
      <c r="A12" s="129" t="s">
        <v>47</v>
      </c>
      <c r="B12" s="133" t="s">
        <v>48</v>
      </c>
      <c r="C12" s="189"/>
      <c r="D12" s="129"/>
      <c r="E12" s="129"/>
      <c r="F12" s="129"/>
      <c r="G12" s="129"/>
      <c r="H12" s="23"/>
      <c r="I12" s="54"/>
      <c r="J12" s="55"/>
      <c r="K12" s="23"/>
      <c r="M12" s="19"/>
      <c r="N12" s="19"/>
      <c r="O12" s="19"/>
      <c r="P12" s="19"/>
      <c r="Q12" s="19"/>
      <c r="R12" s="19"/>
      <c r="S12" s="19"/>
      <c r="T12" s="19"/>
    </row>
    <row r="13" spans="1:20" s="21" customFormat="1" ht="17" customHeight="1">
      <c r="A13" s="129" t="s">
        <v>26</v>
      </c>
      <c r="B13" s="133">
        <v>388.9</v>
      </c>
      <c r="C13" s="189"/>
      <c r="D13" s="129"/>
      <c r="E13" s="129"/>
      <c r="F13" s="129"/>
      <c r="G13" s="129"/>
      <c r="H13" s="23"/>
      <c r="I13" s="54"/>
      <c r="J13" s="55"/>
      <c r="K13" s="23"/>
      <c r="M13" s="19"/>
      <c r="N13" s="19"/>
      <c r="O13" s="19"/>
      <c r="P13" s="19"/>
      <c r="Q13" s="19"/>
      <c r="R13" s="19"/>
      <c r="S13" s="19"/>
      <c r="T13" s="19"/>
    </row>
    <row r="14" spans="1:20" s="21" customFormat="1" ht="17" customHeight="1">
      <c r="A14" s="129" t="s">
        <v>27</v>
      </c>
      <c r="B14" s="133">
        <v>4.8899999999999997</v>
      </c>
      <c r="C14" s="189"/>
      <c r="D14" s="129"/>
      <c r="E14" s="129"/>
      <c r="F14" s="129"/>
      <c r="G14" s="129"/>
      <c r="H14" s="23"/>
      <c r="I14" s="54"/>
      <c r="J14" s="55"/>
      <c r="K14" s="23"/>
      <c r="M14" s="19"/>
      <c r="N14" s="19"/>
      <c r="O14" s="19"/>
      <c r="P14" s="19"/>
      <c r="Q14" s="19"/>
      <c r="R14" s="19"/>
      <c r="S14" s="19"/>
      <c r="T14" s="19"/>
    </row>
    <row r="15" spans="1:20" s="21" customFormat="1" ht="17" customHeight="1">
      <c r="A15" s="129" t="s">
        <v>230</v>
      </c>
      <c r="B15" s="133">
        <v>0.67</v>
      </c>
      <c r="C15" s="189" t="s">
        <v>185</v>
      </c>
      <c r="D15" s="129"/>
      <c r="E15" s="129"/>
      <c r="F15" s="129"/>
      <c r="G15" s="129"/>
      <c r="H15" s="23"/>
      <c r="I15" s="54"/>
      <c r="J15" s="55"/>
      <c r="K15" s="23"/>
      <c r="M15" s="19"/>
      <c r="N15" s="19"/>
      <c r="O15" s="19"/>
      <c r="P15" s="19"/>
      <c r="Q15" s="19"/>
      <c r="R15" s="19"/>
      <c r="S15" s="19"/>
      <c r="T15" s="19"/>
    </row>
    <row r="16" spans="1:20" s="21" customFormat="1" ht="17" customHeight="1">
      <c r="A16" s="129" t="s">
        <v>222</v>
      </c>
      <c r="B16" s="191">
        <v>9.1000000000000003E-5</v>
      </c>
      <c r="C16" s="129" t="s">
        <v>176</v>
      </c>
      <c r="D16" s="129"/>
      <c r="E16" s="129"/>
      <c r="F16" s="129"/>
      <c r="G16" s="129"/>
      <c r="H16" s="23"/>
      <c r="I16" s="54"/>
      <c r="J16" s="55"/>
      <c r="K16" s="23"/>
      <c r="M16" s="19"/>
      <c r="N16" s="19"/>
      <c r="O16" s="19"/>
      <c r="P16" s="19"/>
      <c r="Q16" s="19"/>
      <c r="R16" s="19"/>
      <c r="S16" s="19"/>
      <c r="T16" s="19"/>
    </row>
    <row r="17" spans="1:20" s="21" customFormat="1" ht="17" customHeight="1">
      <c r="A17" s="129" t="s">
        <v>223</v>
      </c>
      <c r="B17" s="191">
        <v>10985</v>
      </c>
      <c r="C17" s="129" t="s">
        <v>177</v>
      </c>
      <c r="D17" s="129"/>
      <c r="E17" s="129"/>
      <c r="F17" s="129"/>
      <c r="G17" s="129"/>
      <c r="H17" s="23"/>
      <c r="I17" s="54"/>
      <c r="J17" s="55"/>
      <c r="K17" s="23"/>
      <c r="M17" s="19"/>
      <c r="N17" s="19"/>
      <c r="O17" s="19"/>
      <c r="P17" s="19"/>
      <c r="Q17" s="19"/>
      <c r="R17" s="19"/>
      <c r="S17" s="19"/>
      <c r="T17" s="19"/>
    </row>
    <row r="18" spans="1:20" s="21" customFormat="1" ht="17" customHeight="1">
      <c r="A18" s="129" t="s">
        <v>42</v>
      </c>
      <c r="B18" s="192">
        <v>0.05</v>
      </c>
      <c r="C18" s="129" t="s">
        <v>0</v>
      </c>
      <c r="D18" s="129"/>
      <c r="E18" s="129"/>
      <c r="F18" s="129"/>
      <c r="G18" s="129"/>
      <c r="H18" s="23"/>
      <c r="I18" s="54"/>
      <c r="J18" s="55"/>
      <c r="K18" s="23"/>
      <c r="M18" s="19"/>
      <c r="N18" s="19"/>
      <c r="O18" s="19"/>
      <c r="P18" s="19"/>
      <c r="Q18" s="19"/>
      <c r="R18" s="19"/>
      <c r="S18" s="19"/>
      <c r="T18" s="19"/>
    </row>
    <row r="19" spans="1:20" s="21" customFormat="1" ht="17" customHeight="1">
      <c r="A19" s="129" t="s">
        <v>224</v>
      </c>
      <c r="B19" s="209">
        <v>50</v>
      </c>
      <c r="C19" s="129"/>
      <c r="D19" s="129"/>
      <c r="E19" s="129"/>
      <c r="F19" s="129"/>
      <c r="G19" s="129"/>
      <c r="H19" s="23"/>
      <c r="I19" s="54"/>
      <c r="J19" s="55"/>
      <c r="K19" s="23"/>
      <c r="M19" s="19"/>
      <c r="N19" s="19"/>
      <c r="O19" s="19"/>
      <c r="P19" s="19"/>
      <c r="Q19" s="19"/>
      <c r="R19" s="19"/>
      <c r="S19" s="19"/>
      <c r="T19" s="19"/>
    </row>
    <row r="20" spans="1:20" s="61" customFormat="1" ht="17" customHeight="1">
      <c r="A20" s="193" t="s">
        <v>50</v>
      </c>
      <c r="B20" s="194"/>
      <c r="C20" s="193"/>
      <c r="D20" s="193"/>
      <c r="E20" s="195"/>
      <c r="F20" s="195"/>
      <c r="G20" s="193"/>
      <c r="H20" s="58"/>
      <c r="I20" s="59"/>
      <c r="J20" s="60"/>
      <c r="K20" s="59"/>
      <c r="M20" s="62"/>
      <c r="N20" s="62"/>
      <c r="O20" s="62"/>
      <c r="P20" s="62"/>
      <c r="Q20" s="62"/>
      <c r="R20" s="62"/>
      <c r="S20" s="62"/>
      <c r="T20" s="62"/>
    </row>
    <row r="21" spans="1:20" s="39" customFormat="1" ht="37" customHeight="1">
      <c r="A21" s="196" t="s">
        <v>79</v>
      </c>
      <c r="B21" s="196" t="s">
        <v>76</v>
      </c>
      <c r="C21" s="196" t="s">
        <v>77</v>
      </c>
      <c r="D21" s="196" t="s">
        <v>78</v>
      </c>
      <c r="E21" s="196" t="s">
        <v>32</v>
      </c>
      <c r="F21" s="197" t="s">
        <v>30</v>
      </c>
      <c r="G21" s="198"/>
      <c r="I21" s="100" t="s">
        <v>0</v>
      </c>
      <c r="K21" s="102"/>
    </row>
    <row r="22" spans="1:20" s="49" customFormat="1" ht="14.5">
      <c r="A22" s="199" t="s">
        <v>33</v>
      </c>
      <c r="B22" s="200">
        <v>1000000</v>
      </c>
      <c r="C22" s="200">
        <v>1500000</v>
      </c>
      <c r="D22" s="200">
        <v>2000000</v>
      </c>
      <c r="E22" s="201" t="s">
        <v>29</v>
      </c>
      <c r="F22" s="202">
        <v>0.2</v>
      </c>
      <c r="G22" s="203"/>
      <c r="I22" s="104" t="s">
        <v>0</v>
      </c>
      <c r="K22" s="46"/>
    </row>
    <row r="23" spans="1:20">
      <c r="A23" s="204" t="s">
        <v>165</v>
      </c>
      <c r="B23" s="205">
        <f>$B$9*B22</f>
        <v>200000</v>
      </c>
      <c r="C23" s="205">
        <f t="shared" ref="C23" si="0">$B$9*C22</f>
        <v>300000</v>
      </c>
      <c r="D23" s="205">
        <f>$B$9*D22</f>
        <v>400000</v>
      </c>
      <c r="E23" s="201" t="s">
        <v>12</v>
      </c>
      <c r="F23" s="202">
        <v>0.2</v>
      </c>
      <c r="G23" s="206"/>
    </row>
    <row r="24" spans="1:20">
      <c r="A24" s="204" t="s">
        <v>166</v>
      </c>
      <c r="B24" s="205">
        <f>B22*$F$23</f>
        <v>200000</v>
      </c>
      <c r="C24" s="205">
        <f>C22*$F$23</f>
        <v>300000</v>
      </c>
      <c r="D24" s="205">
        <f>D22*$F$23</f>
        <v>400000</v>
      </c>
      <c r="E24" s="206"/>
      <c r="F24" s="206"/>
      <c r="G24" s="207"/>
    </row>
    <row r="25" spans="1:20" s="39" customFormat="1" ht="37" hidden="1" customHeight="1">
      <c r="A25" s="196" t="s">
        <v>31</v>
      </c>
      <c r="B25" s="196" t="s">
        <v>76</v>
      </c>
      <c r="C25" s="196" t="s">
        <v>77</v>
      </c>
      <c r="D25" s="196" t="s">
        <v>78</v>
      </c>
      <c r="E25" s="198"/>
      <c r="F25" s="196"/>
      <c r="G25" s="197"/>
      <c r="H25" s="101"/>
      <c r="I25" s="100"/>
      <c r="K25" s="102"/>
    </row>
    <row r="26" spans="1:20" s="182" customFormat="1" ht="14.5" hidden="1">
      <c r="A26" s="199" t="s">
        <v>31</v>
      </c>
      <c r="B26" s="200">
        <v>100000000</v>
      </c>
      <c r="C26" s="200">
        <v>100000000</v>
      </c>
      <c r="D26" s="200">
        <v>100000000</v>
      </c>
      <c r="E26" s="203"/>
      <c r="F26" s="203"/>
      <c r="G26" s="203"/>
      <c r="H26" s="183"/>
      <c r="I26" s="183"/>
      <c r="K26" s="65"/>
    </row>
    <row r="27" spans="1:20" s="49" customFormat="1" ht="13" customHeight="1">
      <c r="A27" s="199"/>
      <c r="B27" s="200"/>
      <c r="C27" s="200"/>
      <c r="D27" s="203"/>
      <c r="E27" s="203"/>
      <c r="F27" s="203"/>
      <c r="G27" s="201"/>
      <c r="H27" s="103"/>
      <c r="I27" s="104"/>
      <c r="J27" s="104"/>
      <c r="K27" s="46"/>
    </row>
    <row r="28" spans="1:20" s="61" customFormat="1" ht="17" customHeight="1">
      <c r="A28" s="193" t="s">
        <v>208</v>
      </c>
      <c r="B28" s="194" t="s">
        <v>209</v>
      </c>
      <c r="C28" s="193"/>
      <c r="D28" s="193"/>
      <c r="E28" s="195"/>
      <c r="F28" s="195"/>
      <c r="G28" s="193"/>
      <c r="H28" s="58"/>
      <c r="I28" s="59"/>
      <c r="J28" s="60"/>
      <c r="K28" s="59"/>
      <c r="M28" s="62"/>
      <c r="N28" s="62"/>
      <c r="O28" s="62"/>
      <c r="P28" s="62"/>
      <c r="Q28" s="62"/>
      <c r="R28" s="62"/>
      <c r="S28" s="62"/>
      <c r="T28" s="62"/>
    </row>
    <row r="29" spans="1:20" s="49" customFormat="1" ht="14.5">
      <c r="A29" s="199" t="s">
        <v>210</v>
      </c>
      <c r="B29" s="200">
        <v>17000000</v>
      </c>
      <c r="C29" s="200"/>
      <c r="D29" s="203"/>
      <c r="E29" s="203"/>
      <c r="F29" s="203"/>
      <c r="G29" s="201"/>
      <c r="H29" s="103"/>
      <c r="I29" s="104"/>
      <c r="J29" s="104"/>
      <c r="K29" s="46"/>
    </row>
    <row r="30" spans="1:20" s="49" customFormat="1" ht="14.5">
      <c r="A30" s="199" t="s">
        <v>211</v>
      </c>
      <c r="B30" s="200">
        <v>2000000</v>
      </c>
      <c r="C30" s="200"/>
      <c r="D30" s="203"/>
      <c r="E30" s="203"/>
      <c r="F30" s="203"/>
      <c r="G30" s="201"/>
      <c r="H30" s="103"/>
      <c r="I30" s="104"/>
      <c r="J30" s="104"/>
      <c r="K30" s="46"/>
    </row>
    <row r="31" spans="1:20" s="49" customFormat="1" ht="25">
      <c r="A31" s="199" t="s">
        <v>213</v>
      </c>
      <c r="B31" s="200">
        <f>(B29+B30)*B7</f>
        <v>28500000</v>
      </c>
      <c r="C31" s="200"/>
      <c r="D31" s="203"/>
      <c r="E31" s="203"/>
      <c r="F31" s="203"/>
      <c r="G31" s="201"/>
      <c r="H31" s="103"/>
      <c r="I31" s="104"/>
      <c r="J31" s="104"/>
      <c r="K31" s="46"/>
    </row>
    <row r="32" spans="1:20" s="182" customFormat="1" ht="14.5">
      <c r="A32" s="199" t="s">
        <v>214</v>
      </c>
      <c r="B32" s="200">
        <f>B31*B6</f>
        <v>20357142.857142858</v>
      </c>
      <c r="C32" s="200"/>
      <c r="D32" s="203"/>
      <c r="E32" s="203"/>
      <c r="F32" s="203"/>
      <c r="G32" s="201"/>
      <c r="H32" s="184"/>
      <c r="I32" s="183"/>
      <c r="J32" s="183"/>
      <c r="K32" s="65"/>
    </row>
    <row r="33" spans="1:20" s="49" customFormat="1" ht="15" customHeight="1">
      <c r="A33" s="199"/>
      <c r="B33" s="200"/>
      <c r="C33" s="200"/>
      <c r="D33" s="203"/>
      <c r="E33" s="203"/>
      <c r="F33" s="203"/>
      <c r="G33" s="201"/>
      <c r="H33" s="103"/>
      <c r="I33" s="104"/>
      <c r="J33" s="104"/>
      <c r="K33" s="46"/>
    </row>
    <row r="34" spans="1:20" s="62" customFormat="1" ht="15" customHeight="1">
      <c r="A34" s="193" t="s">
        <v>175</v>
      </c>
      <c r="B34" s="193"/>
      <c r="C34" s="193"/>
      <c r="D34" s="193"/>
      <c r="E34" s="193"/>
      <c r="F34" s="193"/>
      <c r="G34" s="193"/>
      <c r="H34" s="58"/>
      <c r="I34" s="58"/>
      <c r="J34" s="58"/>
      <c r="K34" s="58"/>
    </row>
    <row r="35" spans="1:20" s="45" customFormat="1" ht="15" customHeight="1">
      <c r="A35" s="208" t="s">
        <v>57</v>
      </c>
      <c r="B35" s="208" t="s">
        <v>17</v>
      </c>
      <c r="C35" s="208" t="s">
        <v>18</v>
      </c>
      <c r="D35" s="208" t="s">
        <v>23</v>
      </c>
      <c r="E35" s="208" t="s">
        <v>9</v>
      </c>
      <c r="F35" s="208"/>
      <c r="G35" s="208" t="s">
        <v>21</v>
      </c>
      <c r="I35" s="51"/>
      <c r="J35" s="51"/>
      <c r="K35" s="51"/>
    </row>
    <row r="36" spans="1:20" s="19" customFormat="1">
      <c r="A36" s="129" t="s">
        <v>51</v>
      </c>
      <c r="B36" s="209">
        <f>550000/7</f>
        <v>78571.428571428565</v>
      </c>
      <c r="C36" s="209">
        <f>B36*$B$16</f>
        <v>7.1499999999999995</v>
      </c>
      <c r="D36" s="129" t="s">
        <v>11</v>
      </c>
      <c r="E36" s="129" t="s">
        <v>8</v>
      </c>
      <c r="F36" s="129"/>
      <c r="G36" s="129"/>
      <c r="I36" s="48"/>
      <c r="J36" s="48"/>
      <c r="K36" s="48"/>
    </row>
    <row r="37" spans="1:20" s="19" customFormat="1">
      <c r="A37" s="129" t="s">
        <v>179</v>
      </c>
      <c r="B37" s="209">
        <v>60000</v>
      </c>
      <c r="C37" s="209">
        <f>B37*$B$16</f>
        <v>5.46</v>
      </c>
      <c r="D37" s="129"/>
      <c r="E37" s="129" t="s">
        <v>14</v>
      </c>
      <c r="F37" s="129"/>
      <c r="G37" s="129"/>
      <c r="I37" s="48"/>
      <c r="J37" s="48"/>
      <c r="K37" s="48"/>
    </row>
    <row r="38" spans="1:20" s="64" customFormat="1">
      <c r="A38" s="210" t="s">
        <v>53</v>
      </c>
      <c r="B38" s="211"/>
      <c r="C38" s="212">
        <f>AVERAGE(C36:C37)</f>
        <v>6.3049999999999997</v>
      </c>
      <c r="D38" s="210"/>
      <c r="E38" s="210"/>
      <c r="F38" s="210"/>
      <c r="G38" s="210"/>
      <c r="I38" s="63"/>
      <c r="J38" s="63"/>
      <c r="K38" s="63"/>
    </row>
    <row r="39" spans="1:20" s="19" customFormat="1">
      <c r="A39" s="129" t="s">
        <v>56</v>
      </c>
      <c r="B39" s="209">
        <f>1070000/8.5</f>
        <v>125882.35294117648</v>
      </c>
      <c r="C39" s="213">
        <f>B39*$B$16</f>
        <v>11.45529411764706</v>
      </c>
      <c r="D39" s="129" t="s">
        <v>13</v>
      </c>
      <c r="E39" s="129" t="s">
        <v>8</v>
      </c>
      <c r="F39" s="129"/>
      <c r="G39" s="129"/>
      <c r="I39" s="48"/>
      <c r="J39" s="48"/>
      <c r="K39" s="48"/>
    </row>
    <row r="40" spans="1:20" s="19" customFormat="1">
      <c r="A40" s="129" t="s">
        <v>180</v>
      </c>
      <c r="B40" s="129">
        <v>100000</v>
      </c>
      <c r="C40" s="213">
        <f>B40*$B$16</f>
        <v>9.1</v>
      </c>
      <c r="D40" s="129"/>
      <c r="E40" s="129" t="s">
        <v>14</v>
      </c>
      <c r="F40" s="129"/>
      <c r="G40" s="129"/>
      <c r="I40" s="48"/>
      <c r="J40" s="48"/>
      <c r="K40" s="48"/>
    </row>
    <row r="41" spans="1:20" s="94" customFormat="1">
      <c r="A41" s="210" t="s">
        <v>53</v>
      </c>
      <c r="B41" s="210"/>
      <c r="C41" s="212">
        <f>AVERAGE(C39:C40)</f>
        <v>10.277647058823529</v>
      </c>
      <c r="D41" s="210"/>
      <c r="E41" s="210"/>
      <c r="F41" s="210"/>
      <c r="G41" s="210"/>
      <c r="I41" s="93"/>
      <c r="J41" s="93"/>
      <c r="K41" s="93"/>
    </row>
    <row r="42" spans="1:20" s="92" customFormat="1" ht="15" customHeight="1">
      <c r="A42" s="208" t="s">
        <v>58</v>
      </c>
      <c r="B42" s="208" t="s">
        <v>17</v>
      </c>
      <c r="C42" s="208" t="s">
        <v>18</v>
      </c>
      <c r="D42" s="208" t="s">
        <v>23</v>
      </c>
      <c r="E42" s="208" t="s">
        <v>9</v>
      </c>
      <c r="F42" s="208" t="s">
        <v>9</v>
      </c>
      <c r="I42" s="91"/>
      <c r="J42" s="91"/>
      <c r="K42" s="91"/>
    </row>
    <row r="43" spans="1:20" s="19" customFormat="1">
      <c r="A43" s="129" t="s">
        <v>52</v>
      </c>
      <c r="B43" s="129"/>
      <c r="C43" s="129">
        <v>48</v>
      </c>
      <c r="D43" s="129"/>
      <c r="E43" s="129" t="s">
        <v>19</v>
      </c>
      <c r="F43" s="214" t="s">
        <v>20</v>
      </c>
      <c r="I43" s="48"/>
      <c r="J43" s="48"/>
      <c r="K43" s="48"/>
    </row>
    <row r="44" spans="1:20">
      <c r="A44" s="129" t="s">
        <v>56</v>
      </c>
      <c r="B44" s="130"/>
      <c r="C44" s="132">
        <f>C43*B6</f>
        <v>34.285714285714285</v>
      </c>
      <c r="D44" s="130"/>
      <c r="E44" s="129" t="s">
        <v>19</v>
      </c>
      <c r="F44" s="129"/>
      <c r="G44" s="215"/>
      <c r="I44" s="24"/>
      <c r="J44" s="24"/>
      <c r="K44" s="24"/>
    </row>
    <row r="45" spans="1:20">
      <c r="A45" s="129" t="s">
        <v>52</v>
      </c>
      <c r="B45" s="130"/>
      <c r="C45" s="132">
        <v>40</v>
      </c>
      <c r="D45" s="130" t="s">
        <v>25</v>
      </c>
      <c r="E45" s="129" t="s">
        <v>24</v>
      </c>
      <c r="F45" s="129"/>
      <c r="G45" s="130" t="s">
        <v>0</v>
      </c>
      <c r="I45" s="24"/>
      <c r="J45" s="24"/>
      <c r="K45" s="24"/>
    </row>
    <row r="46" spans="1:20" s="66" customFormat="1">
      <c r="A46" s="129" t="s">
        <v>56</v>
      </c>
      <c r="B46" s="130"/>
      <c r="C46" s="132">
        <f>C45*B6</f>
        <v>28.571428571428573</v>
      </c>
      <c r="D46" s="129"/>
      <c r="E46" s="129" t="s">
        <v>24</v>
      </c>
      <c r="F46" s="129"/>
      <c r="G46" s="130"/>
      <c r="I46" s="65"/>
      <c r="J46" s="65"/>
      <c r="K46" s="65"/>
    </row>
    <row r="47" spans="1:20">
      <c r="A47" s="130"/>
      <c r="B47" s="130"/>
      <c r="C47" s="130" t="s">
        <v>0</v>
      </c>
      <c r="D47" s="130"/>
      <c r="E47" s="129"/>
      <c r="F47" s="129"/>
      <c r="G47" s="129"/>
      <c r="H47" s="24"/>
      <c r="I47" s="24"/>
      <c r="J47" s="24"/>
      <c r="K47" s="24"/>
    </row>
    <row r="48" spans="1:20" s="67" customFormat="1">
      <c r="A48" s="193" t="s">
        <v>54</v>
      </c>
      <c r="B48" s="193"/>
      <c r="C48" s="193"/>
      <c r="D48" s="193"/>
      <c r="E48" s="193"/>
      <c r="F48" s="193"/>
      <c r="G48" s="193"/>
      <c r="H48" s="59"/>
      <c r="I48" s="59"/>
      <c r="J48" s="59"/>
      <c r="K48" s="59"/>
      <c r="M48" s="68"/>
      <c r="N48" s="68"/>
      <c r="O48" s="68"/>
      <c r="P48" s="68"/>
      <c r="Q48" s="68"/>
      <c r="R48" s="68"/>
      <c r="S48" s="68"/>
      <c r="T48" s="68"/>
    </row>
    <row r="49" spans="1:20" s="44" customFormat="1" ht="18" customHeight="1">
      <c r="A49" s="208" t="s">
        <v>60</v>
      </c>
      <c r="B49" s="208" t="s">
        <v>41</v>
      </c>
      <c r="C49" s="208" t="s">
        <v>61</v>
      </c>
      <c r="D49" s="208" t="s">
        <v>9</v>
      </c>
      <c r="E49" s="216" t="s">
        <v>0</v>
      </c>
      <c r="F49" s="216"/>
      <c r="G49" s="208" t="s">
        <v>0</v>
      </c>
      <c r="H49" s="57" t="s">
        <v>0</v>
      </c>
      <c r="I49" s="57"/>
      <c r="J49" s="57"/>
      <c r="K49" s="57"/>
    </row>
    <row r="50" spans="1:20" s="72" customFormat="1">
      <c r="A50" s="129" t="s">
        <v>62</v>
      </c>
      <c r="B50" s="129">
        <v>2000000</v>
      </c>
      <c r="C50" s="129">
        <v>2</v>
      </c>
      <c r="D50" s="129" t="s">
        <v>178</v>
      </c>
      <c r="E50" s="217"/>
      <c r="F50" s="217"/>
      <c r="G50" s="217"/>
      <c r="H50" s="70"/>
      <c r="I50" s="70"/>
      <c r="J50" s="70"/>
      <c r="K50" s="70"/>
    </row>
    <row r="51" spans="1:20" s="71" customFormat="1">
      <c r="A51" s="217"/>
      <c r="B51" s="217"/>
      <c r="C51" s="217"/>
      <c r="D51" s="217"/>
      <c r="E51" s="217"/>
      <c r="F51" s="217"/>
      <c r="G51" s="217"/>
      <c r="H51" s="69"/>
      <c r="I51" s="69"/>
      <c r="J51" s="69"/>
      <c r="K51" s="69"/>
      <c r="M51" s="72"/>
      <c r="N51" s="72"/>
      <c r="O51" s="72"/>
      <c r="P51" s="72"/>
      <c r="Q51" s="72"/>
      <c r="R51" s="72"/>
      <c r="S51" s="72"/>
      <c r="T51" s="72"/>
    </row>
    <row r="52" spans="1:20" s="99" customFormat="1" ht="31" customHeight="1">
      <c r="A52" s="135" t="s">
        <v>217</v>
      </c>
      <c r="B52" s="135" t="s">
        <v>196</v>
      </c>
      <c r="C52" s="135" t="s">
        <v>169</v>
      </c>
      <c r="D52" s="135" t="s">
        <v>0</v>
      </c>
      <c r="E52" s="218" t="s">
        <v>0</v>
      </c>
      <c r="F52" s="219" t="s">
        <v>0</v>
      </c>
      <c r="G52" s="220"/>
      <c r="H52" s="97"/>
      <c r="I52" s="98"/>
      <c r="J52" s="98"/>
      <c r="K52" s="98"/>
    </row>
    <row r="53" spans="1:20" s="20" customFormat="1">
      <c r="A53" s="130" t="s">
        <v>195</v>
      </c>
      <c r="B53" s="139">
        <f>'Disposal facilities'!L71</f>
        <v>1.18232206</v>
      </c>
      <c r="C53" s="133">
        <f>B53/50</f>
        <v>2.36464412E-2</v>
      </c>
      <c r="D53" s="132" t="s">
        <v>0</v>
      </c>
      <c r="E53" s="129"/>
      <c r="F53" s="133" t="s">
        <v>0</v>
      </c>
      <c r="G53" s="207"/>
      <c r="I53" s="47"/>
      <c r="J53" s="46"/>
      <c r="K53" s="46"/>
    </row>
    <row r="54" spans="1:20" s="20" customFormat="1">
      <c r="A54" s="130" t="s">
        <v>216</v>
      </c>
      <c r="B54" s="136">
        <f>0.6*(B22+C22+C22+D22+D22)</f>
        <v>4800000</v>
      </c>
      <c r="C54" s="133"/>
      <c r="D54" s="132"/>
      <c r="E54" s="129"/>
      <c r="F54" s="133"/>
      <c r="G54" s="207"/>
      <c r="I54" s="47"/>
      <c r="J54" s="46"/>
      <c r="K54" s="46"/>
    </row>
    <row r="55" spans="1:20" s="20" customFormat="1">
      <c r="A55" s="130" t="s">
        <v>219</v>
      </c>
      <c r="B55" s="136">
        <f>B54*B53</f>
        <v>5675145.8879999993</v>
      </c>
      <c r="C55" s="142">
        <f>B55/50</f>
        <v>113502.91775999998</v>
      </c>
      <c r="D55" s="130" t="s">
        <v>0</v>
      </c>
      <c r="E55" s="129"/>
      <c r="F55" s="133" t="s">
        <v>0</v>
      </c>
      <c r="G55" s="207"/>
      <c r="I55" s="47"/>
      <c r="J55" s="46"/>
      <c r="K55" s="46"/>
    </row>
    <row r="56" spans="1:20" s="20" customFormat="1">
      <c r="A56" s="130" t="s">
        <v>194</v>
      </c>
      <c r="B56" s="140">
        <f>'Disposal facilities'!O71</f>
        <v>0.06</v>
      </c>
      <c r="C56" s="137"/>
      <c r="D56" s="130"/>
      <c r="E56" s="129"/>
      <c r="F56" s="133"/>
      <c r="G56" s="207"/>
      <c r="I56" s="47"/>
      <c r="J56" s="46"/>
      <c r="K56" s="46"/>
    </row>
    <row r="57" spans="1:20" s="20" customFormat="1">
      <c r="A57" s="130" t="s">
        <v>218</v>
      </c>
      <c r="B57" s="136">
        <f>B56*B54</f>
        <v>288000</v>
      </c>
      <c r="C57" s="137"/>
      <c r="D57" s="130"/>
      <c r="E57" s="129"/>
      <c r="F57" s="133"/>
      <c r="G57" s="207"/>
      <c r="I57" s="47"/>
      <c r="J57" s="46"/>
      <c r="K57" s="46"/>
    </row>
    <row r="58" spans="1:20">
      <c r="A58" s="130"/>
      <c r="B58" s="207"/>
      <c r="C58" s="130"/>
      <c r="D58" s="130"/>
      <c r="E58" s="129"/>
      <c r="F58" s="129"/>
      <c r="G58" s="129"/>
      <c r="H58" s="24"/>
      <c r="I58" s="24"/>
      <c r="J58" s="24"/>
      <c r="K58" s="24"/>
    </row>
    <row r="59" spans="1:20" s="45" customFormat="1" ht="17" customHeight="1">
      <c r="A59" s="208" t="s">
        <v>16</v>
      </c>
      <c r="B59" s="208" t="s">
        <v>37</v>
      </c>
      <c r="C59" s="208" t="s">
        <v>36</v>
      </c>
      <c r="D59" s="208"/>
      <c r="E59" s="208"/>
      <c r="F59" s="208" t="s">
        <v>44</v>
      </c>
      <c r="H59" s="51"/>
      <c r="I59" s="51"/>
      <c r="J59" s="51"/>
      <c r="K59" s="51"/>
    </row>
    <row r="60" spans="1:20" s="15" customFormat="1">
      <c r="A60" s="129" t="s">
        <v>35</v>
      </c>
      <c r="B60" s="129">
        <v>0.5</v>
      </c>
      <c r="C60" s="129">
        <v>1</v>
      </c>
      <c r="D60" s="130"/>
      <c r="E60" s="129"/>
      <c r="F60" s="129" t="s">
        <v>8</v>
      </c>
      <c r="G60" s="210" t="s">
        <v>5</v>
      </c>
      <c r="H60" s="54">
        <v>550000</v>
      </c>
      <c r="I60" s="55" t="s">
        <v>6</v>
      </c>
      <c r="K60" s="24"/>
      <c r="M60" s="18"/>
      <c r="N60" s="18"/>
      <c r="O60" s="18"/>
      <c r="P60" s="18"/>
      <c r="Q60" s="18"/>
      <c r="R60" s="18"/>
      <c r="S60" s="18"/>
      <c r="T60" s="18"/>
    </row>
    <row r="61" spans="1:20" s="15" customFormat="1">
      <c r="A61" s="129" t="s">
        <v>34</v>
      </c>
      <c r="B61" s="213">
        <f>B60*$B$4</f>
        <v>0.27777777777777779</v>
      </c>
      <c r="C61" s="213">
        <f>C60*$B$4</f>
        <v>0.55555555555555558</v>
      </c>
      <c r="D61" s="130"/>
      <c r="E61" s="129" t="s">
        <v>0</v>
      </c>
      <c r="F61" s="129" t="s">
        <v>8</v>
      </c>
      <c r="G61" s="130" t="s">
        <v>1</v>
      </c>
      <c r="H61" s="56">
        <f>Yield/7</f>
        <v>78571.428571428565</v>
      </c>
      <c r="I61" s="24" t="s">
        <v>0</v>
      </c>
      <c r="K61" s="24"/>
      <c r="M61" s="18"/>
      <c r="N61" s="18"/>
      <c r="O61" s="18"/>
      <c r="P61" s="18"/>
      <c r="Q61" s="18"/>
      <c r="R61" s="18"/>
      <c r="S61" s="18"/>
      <c r="T61" s="18"/>
    </row>
    <row r="62" spans="1:20" s="15" customFormat="1">
      <c r="A62" s="129"/>
      <c r="B62" s="133"/>
      <c r="C62" s="133"/>
      <c r="D62" s="130"/>
      <c r="E62" s="129"/>
      <c r="F62" s="129"/>
      <c r="G62" s="130"/>
      <c r="H62" s="56"/>
      <c r="I62" s="24"/>
      <c r="K62" s="24"/>
      <c r="M62" s="18"/>
      <c r="N62" s="18"/>
      <c r="O62" s="18"/>
      <c r="P62" s="18"/>
      <c r="Q62" s="18"/>
      <c r="R62" s="18"/>
      <c r="S62" s="18"/>
      <c r="T62" s="18"/>
    </row>
    <row r="63" spans="1:20" s="50" customFormat="1" ht="43" customHeight="1">
      <c r="A63" s="135" t="s">
        <v>39</v>
      </c>
      <c r="B63" s="135" t="s">
        <v>40</v>
      </c>
      <c r="C63" s="135" t="s">
        <v>172</v>
      </c>
      <c r="D63" s="135" t="s">
        <v>184</v>
      </c>
      <c r="E63" s="135" t="s">
        <v>171</v>
      </c>
      <c r="F63" s="208" t="s">
        <v>9</v>
      </c>
      <c r="G63" s="208"/>
      <c r="H63" s="51"/>
      <c r="I63" s="51"/>
      <c r="K63" s="51"/>
    </row>
    <row r="64" spans="1:20">
      <c r="A64" s="129" t="s">
        <v>38</v>
      </c>
      <c r="B64" s="130">
        <v>2000000</v>
      </c>
      <c r="C64" s="130">
        <f>18200000*1.18*B15</f>
        <v>14388920</v>
      </c>
      <c r="D64" s="134">
        <f>C64/B64</f>
        <v>7.1944600000000003</v>
      </c>
      <c r="E64" s="131">
        <f>D64/50</f>
        <v>0.14388919999999999</v>
      </c>
      <c r="F64" s="129" t="s">
        <v>45</v>
      </c>
      <c r="G64" s="130"/>
      <c r="H64" s="24"/>
      <c r="I64" s="24"/>
      <c r="K64" s="24"/>
    </row>
    <row r="65" spans="1:11">
      <c r="A65" s="129" t="s">
        <v>64</v>
      </c>
      <c r="B65" s="132">
        <f>B64*B4</f>
        <v>1111111.1111111112</v>
      </c>
      <c r="C65" s="130">
        <f>18200000*1.18*B15</f>
        <v>14388920</v>
      </c>
      <c r="D65" s="134">
        <f>C65/B65</f>
        <v>12.950027999999998</v>
      </c>
      <c r="E65" s="133">
        <f>D65/50</f>
        <v>0.25900055999999994</v>
      </c>
      <c r="F65" s="129"/>
      <c r="G65" s="130"/>
      <c r="H65" s="24"/>
      <c r="I65" s="24"/>
      <c r="K65" s="24"/>
    </row>
    <row r="66" spans="1:11">
      <c r="A66" s="130"/>
      <c r="B66" s="130"/>
      <c r="C66" s="130"/>
      <c r="D66" s="130"/>
      <c r="E66" s="129"/>
      <c r="F66" s="129"/>
      <c r="G66" s="130"/>
      <c r="H66" s="24"/>
      <c r="I66" s="24"/>
      <c r="K66" s="24"/>
    </row>
    <row r="67" spans="1:11" s="50" customFormat="1">
      <c r="A67" s="208" t="s">
        <v>43</v>
      </c>
      <c r="B67" s="208" t="s">
        <v>46</v>
      </c>
      <c r="C67" s="208"/>
      <c r="D67" s="208"/>
      <c r="E67" s="208"/>
      <c r="F67" s="208"/>
      <c r="G67" s="208"/>
      <c r="H67" s="51"/>
      <c r="I67" s="51"/>
      <c r="K67" s="51"/>
    </row>
    <row r="68" spans="1:11">
      <c r="A68" s="130" t="s">
        <v>67</v>
      </c>
      <c r="B68" s="222">
        <f>17/9/100</f>
        <v>1.8888888888888889E-2</v>
      </c>
      <c r="C68" s="130"/>
      <c r="E68" s="129"/>
      <c r="F68" s="129" t="s">
        <v>174</v>
      </c>
      <c r="G68" s="130"/>
      <c r="H68" s="24"/>
      <c r="I68" s="24"/>
      <c r="K68" s="24"/>
    </row>
    <row r="69" spans="1:11">
      <c r="A69" s="130" t="s">
        <v>69</v>
      </c>
      <c r="B69" s="134">
        <f>17/9</f>
        <v>1.8888888888888888</v>
      </c>
      <c r="C69" s="130" t="s">
        <v>68</v>
      </c>
      <c r="D69" s="130"/>
      <c r="E69" s="129"/>
      <c r="F69" s="129"/>
      <c r="G69" s="129"/>
      <c r="H69" s="24"/>
      <c r="I69" s="24"/>
      <c r="J69" s="24"/>
      <c r="K69" s="24"/>
    </row>
    <row r="70" spans="1:11" s="66" customFormat="1">
      <c r="A70" s="130" t="s">
        <v>55</v>
      </c>
      <c r="B70" s="134">
        <f>B68*350</f>
        <v>6.6111111111111116</v>
      </c>
      <c r="C70" s="130"/>
      <c r="D70" s="130"/>
      <c r="E70" s="129"/>
      <c r="F70" s="129"/>
      <c r="G70" s="129"/>
      <c r="H70" s="65"/>
      <c r="I70" s="65"/>
      <c r="J70" s="65"/>
      <c r="K70" s="65"/>
    </row>
  </sheetData>
  <mergeCells count="2">
    <mergeCell ref="H2:K2"/>
    <mergeCell ref="B2:C2"/>
  </mergeCells>
  <phoneticPr fontId="16" type="noConversion"/>
  <hyperlinks>
    <hyperlink ref="F43" r:id="rId1" location=":~:text=What%20is%20the%20average%20export,3.8%25%20against%20the%20previous%20year." xr:uid="{8EAA88D3-4F09-4949-8E12-0B633FE70703}"/>
  </hyperlinks>
  <pageMargins left="0.75000000000000011" right="0.75000000000000011" top="1" bottom="1" header="0.5" footer="0.5"/>
  <pageSetup paperSize="0" scale="73" orientation="landscape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C01F0-27D3-8042-BA93-866CE0B57C3D}">
  <dimension ref="A1:R72"/>
  <sheetViews>
    <sheetView topLeftCell="A17" zoomScale="106" zoomScaleNormal="130" workbookViewId="0">
      <selection activeCell="A76" sqref="A76"/>
    </sheetView>
  </sheetViews>
  <sheetFormatPr defaultColWidth="10.83203125" defaultRowHeight="14"/>
  <cols>
    <col min="1" max="1" width="25.1640625" style="6" customWidth="1"/>
    <col min="2" max="3" width="0" style="6" hidden="1" customWidth="1"/>
    <col min="4" max="5" width="11" style="6" bestFit="1" customWidth="1"/>
    <col min="6" max="6" width="11" style="6" hidden="1" customWidth="1"/>
    <col min="7" max="7" width="17.5" style="38" customWidth="1"/>
    <col min="8" max="8" width="11" style="6" bestFit="1" customWidth="1"/>
    <col min="9" max="9" width="0" style="6" hidden="1" customWidth="1"/>
    <col min="10" max="10" width="11" style="6" bestFit="1" customWidth="1"/>
    <col min="11" max="11" width="18.5" style="6" customWidth="1"/>
    <col min="12" max="12" width="17" style="6" customWidth="1"/>
    <col min="13" max="15" width="12.83203125" style="6" customWidth="1"/>
    <col min="16" max="16" width="18.6640625" style="6" customWidth="1"/>
    <col min="17" max="17" width="25" style="6" customWidth="1"/>
    <col min="18" max="18" width="14.6640625" style="6" customWidth="1"/>
    <col min="19" max="16384" width="10.83203125" style="6"/>
  </cols>
  <sheetData>
    <row r="1" spans="1:18" s="117" customFormat="1" ht="35" customHeight="1">
      <c r="B1" s="117" t="s">
        <v>148</v>
      </c>
      <c r="C1" s="117" t="s">
        <v>158</v>
      </c>
      <c r="D1" s="117" t="s">
        <v>149</v>
      </c>
      <c r="E1" s="117" t="s">
        <v>150</v>
      </c>
      <c r="F1" s="117" t="s">
        <v>159</v>
      </c>
      <c r="G1" s="118" t="s">
        <v>153</v>
      </c>
      <c r="H1" s="117" t="s">
        <v>152</v>
      </c>
      <c r="I1" s="117" t="s">
        <v>181</v>
      </c>
      <c r="J1" s="117" t="s">
        <v>151</v>
      </c>
      <c r="K1" s="117" t="s">
        <v>183</v>
      </c>
      <c r="L1" s="117" t="s">
        <v>71</v>
      </c>
      <c r="M1" s="117" t="s">
        <v>191</v>
      </c>
      <c r="O1" s="117" t="s">
        <v>192</v>
      </c>
      <c r="P1" s="117" t="s">
        <v>182</v>
      </c>
      <c r="Q1" s="117" t="s">
        <v>155</v>
      </c>
      <c r="R1" s="117" t="s">
        <v>154</v>
      </c>
    </row>
    <row r="2" spans="1:18" s="120" customFormat="1" hidden="1">
      <c r="A2" s="241" t="s">
        <v>87</v>
      </c>
      <c r="B2" s="241" t="s">
        <v>88</v>
      </c>
      <c r="C2" s="241" t="s">
        <v>89</v>
      </c>
      <c r="D2" s="241">
        <v>1974</v>
      </c>
      <c r="E2" s="241">
        <v>56</v>
      </c>
      <c r="F2" s="241">
        <v>2760000</v>
      </c>
      <c r="G2" s="119"/>
      <c r="H2" s="241">
        <v>100</v>
      </c>
      <c r="I2" s="241" t="s">
        <v>90</v>
      </c>
      <c r="J2" s="241">
        <v>6800000</v>
      </c>
      <c r="N2" s="170"/>
    </row>
    <row r="3" spans="1:18" s="120" customFormat="1">
      <c r="A3" s="241"/>
      <c r="B3" s="241"/>
      <c r="C3" s="241"/>
      <c r="D3" s="241"/>
      <c r="E3" s="241"/>
      <c r="F3" s="241"/>
      <c r="G3" s="122">
        <f>F2*Assumptions!$B$8</f>
        <v>2110171.7999999998</v>
      </c>
      <c r="H3" s="241"/>
      <c r="I3" s="241"/>
      <c r="J3" s="241"/>
      <c r="K3" s="126">
        <f>J2*Assumptions!$B$14</f>
        <v>33251999.999999996</v>
      </c>
      <c r="L3" s="125">
        <f>K3/G3</f>
        <v>15.757958664787388</v>
      </c>
      <c r="M3" s="120">
        <v>50</v>
      </c>
      <c r="N3" s="170"/>
      <c r="P3" s="124">
        <f>L3/$M$3</f>
        <v>0.31515917329574777</v>
      </c>
      <c r="R3" s="121">
        <v>0.3</v>
      </c>
    </row>
    <row r="4" spans="1:18" s="120" customFormat="1" hidden="1">
      <c r="A4" s="241" t="s">
        <v>91</v>
      </c>
      <c r="B4" s="241" t="s">
        <v>88</v>
      </c>
      <c r="C4" s="241" t="s">
        <v>89</v>
      </c>
      <c r="D4" s="241">
        <v>1975</v>
      </c>
      <c r="E4" s="241">
        <v>63</v>
      </c>
      <c r="F4" s="241">
        <v>2600000</v>
      </c>
      <c r="G4" s="122" t="s">
        <v>0</v>
      </c>
      <c r="H4" s="241">
        <v>65</v>
      </c>
      <c r="I4" s="241" t="s">
        <v>92</v>
      </c>
      <c r="J4" s="241">
        <v>6400000</v>
      </c>
      <c r="K4" s="126" t="s">
        <v>0</v>
      </c>
      <c r="L4" s="125" t="s">
        <v>0</v>
      </c>
      <c r="N4" s="170"/>
      <c r="P4" s="124" t="s">
        <v>0</v>
      </c>
    </row>
    <row r="5" spans="1:18" s="120" customFormat="1">
      <c r="A5" s="241"/>
      <c r="B5" s="241"/>
      <c r="C5" s="241"/>
      <c r="D5" s="241"/>
      <c r="E5" s="241"/>
      <c r="F5" s="241"/>
      <c r="G5" s="122">
        <f>F4*Assumptions!$B$8</f>
        <v>1987843</v>
      </c>
      <c r="H5" s="241"/>
      <c r="I5" s="241"/>
      <c r="J5" s="241"/>
      <c r="K5" s="126">
        <f>J4*Assumptions!$B$14</f>
        <v>31295999.999999996</v>
      </c>
      <c r="L5" s="125">
        <f>K5/G5</f>
        <v>15.743698068710655</v>
      </c>
      <c r="M5" s="120">
        <v>50</v>
      </c>
      <c r="N5" s="170"/>
      <c r="P5" s="124">
        <f t="shared" ref="P5:P63" si="0">L5/$M$3</f>
        <v>0.31487396137421308</v>
      </c>
    </row>
    <row r="6" spans="1:18" s="120" customFormat="1" hidden="1">
      <c r="A6" s="241" t="s">
        <v>93</v>
      </c>
      <c r="B6" s="241" t="s">
        <v>88</v>
      </c>
      <c r="C6" s="241" t="s">
        <v>89</v>
      </c>
      <c r="D6" s="241">
        <v>1976</v>
      </c>
      <c r="E6" s="241">
        <v>242</v>
      </c>
      <c r="F6" s="241">
        <v>11100000</v>
      </c>
      <c r="G6" s="122" t="s">
        <v>0</v>
      </c>
      <c r="H6" s="241">
        <v>93</v>
      </c>
      <c r="I6" s="241" t="s">
        <v>94</v>
      </c>
      <c r="J6" s="241">
        <v>18400000</v>
      </c>
      <c r="K6" s="126" t="s">
        <v>0</v>
      </c>
      <c r="L6" s="125" t="s">
        <v>0</v>
      </c>
      <c r="N6" s="170"/>
      <c r="P6" s="124" t="s">
        <v>0</v>
      </c>
    </row>
    <row r="7" spans="1:18" s="120" customFormat="1">
      <c r="A7" s="241"/>
      <c r="B7" s="241"/>
      <c r="C7" s="241"/>
      <c r="D7" s="241"/>
      <c r="E7" s="241"/>
      <c r="F7" s="241"/>
      <c r="G7" s="122">
        <f>F6*Assumptions!$B$8</f>
        <v>8486560.5</v>
      </c>
      <c r="H7" s="241"/>
      <c r="I7" s="241"/>
      <c r="J7" s="241"/>
      <c r="K7" s="126">
        <f>J6*Assumptions!$B$14</f>
        <v>89976000</v>
      </c>
      <c r="L7" s="125">
        <f>K7/G7</f>
        <v>10.602175050775871</v>
      </c>
      <c r="N7" s="170"/>
      <c r="P7" s="124">
        <f t="shared" si="0"/>
        <v>0.21204350101551742</v>
      </c>
    </row>
    <row r="8" spans="1:18" s="120" customFormat="1" hidden="1">
      <c r="A8" s="241" t="s">
        <v>95</v>
      </c>
      <c r="B8" s="241" t="s">
        <v>96</v>
      </c>
      <c r="C8" s="241" t="s">
        <v>89</v>
      </c>
      <c r="D8" s="241">
        <v>1977</v>
      </c>
      <c r="E8" s="241">
        <v>107</v>
      </c>
      <c r="F8" s="241">
        <v>6900000</v>
      </c>
      <c r="G8" s="122" t="s">
        <v>0</v>
      </c>
      <c r="H8" s="241">
        <v>52</v>
      </c>
      <c r="I8" s="241" t="s">
        <v>97</v>
      </c>
      <c r="J8" s="241">
        <v>15400000</v>
      </c>
      <c r="K8" s="126" t="s">
        <v>0</v>
      </c>
      <c r="L8" s="125" t="s">
        <v>0</v>
      </c>
      <c r="N8" s="170"/>
      <c r="P8" s="124" t="s">
        <v>0</v>
      </c>
    </row>
    <row r="9" spans="1:18" s="120" customFormat="1">
      <c r="A9" s="241"/>
      <c r="B9" s="241"/>
      <c r="C9" s="241"/>
      <c r="D9" s="241"/>
      <c r="E9" s="241"/>
      <c r="F9" s="241"/>
      <c r="G9" s="122">
        <f>F8*Assumptions!$B$8</f>
        <v>5275429.5</v>
      </c>
      <c r="H9" s="241"/>
      <c r="I9" s="241"/>
      <c r="J9" s="241"/>
      <c r="K9" s="126">
        <f>J8*Assumptions!$B$14</f>
        <v>75306000</v>
      </c>
      <c r="L9" s="125">
        <f>K9/G9</f>
        <v>14.274856672807399</v>
      </c>
      <c r="N9" s="170"/>
      <c r="P9" s="124">
        <f t="shared" si="0"/>
        <v>0.28549713345614797</v>
      </c>
    </row>
    <row r="10" spans="1:18" s="120" customFormat="1" hidden="1">
      <c r="A10" s="241" t="s">
        <v>98</v>
      </c>
      <c r="B10" s="241" t="s">
        <v>88</v>
      </c>
      <c r="C10" s="241" t="s">
        <v>89</v>
      </c>
      <c r="D10" s="241">
        <v>1977</v>
      </c>
      <c r="E10" s="241">
        <v>58</v>
      </c>
      <c r="F10" s="241">
        <v>1850000</v>
      </c>
      <c r="G10" s="122" t="s">
        <v>0</v>
      </c>
      <c r="H10" s="241">
        <v>56</v>
      </c>
      <c r="I10" s="241" t="s">
        <v>92</v>
      </c>
      <c r="J10" s="241">
        <v>7900000</v>
      </c>
      <c r="K10" s="126" t="s">
        <v>0</v>
      </c>
      <c r="L10" s="125" t="s">
        <v>0</v>
      </c>
      <c r="N10" s="170"/>
      <c r="P10" s="124" t="s">
        <v>0</v>
      </c>
    </row>
    <row r="11" spans="1:18" s="120" customFormat="1">
      <c r="A11" s="241"/>
      <c r="B11" s="241"/>
      <c r="C11" s="241"/>
      <c r="D11" s="241"/>
      <c r="E11" s="241"/>
      <c r="F11" s="241"/>
      <c r="G11" s="122">
        <f>F10*Assumptions!$B$8</f>
        <v>1414426.75</v>
      </c>
      <c r="H11" s="241"/>
      <c r="I11" s="241"/>
      <c r="J11" s="241"/>
      <c r="K11" s="126">
        <f>J10*Assumptions!$B$14</f>
        <v>38631000</v>
      </c>
      <c r="L11" s="125">
        <f>K11/G11</f>
        <v>27.312124859063928</v>
      </c>
      <c r="N11" s="170"/>
      <c r="P11" s="124">
        <f t="shared" si="0"/>
        <v>0.5462424971812786</v>
      </c>
    </row>
    <row r="12" spans="1:18" s="120" customFormat="1" hidden="1">
      <c r="A12" s="241" t="s">
        <v>99</v>
      </c>
      <c r="B12" s="241" t="s">
        <v>100</v>
      </c>
      <c r="C12" s="241" t="s">
        <v>89</v>
      </c>
      <c r="D12" s="241">
        <v>1979</v>
      </c>
      <c r="E12" s="241">
        <v>23</v>
      </c>
      <c r="F12" s="241">
        <v>420000</v>
      </c>
      <c r="G12" s="122" t="s">
        <v>0</v>
      </c>
      <c r="H12" s="241">
        <v>10</v>
      </c>
      <c r="I12" s="241" t="s">
        <v>101</v>
      </c>
      <c r="J12" s="241">
        <v>400000</v>
      </c>
      <c r="K12" s="126" t="s">
        <v>0</v>
      </c>
      <c r="L12" s="125" t="s">
        <v>0</v>
      </c>
      <c r="N12" s="170"/>
      <c r="P12" s="124" t="s">
        <v>0</v>
      </c>
    </row>
    <row r="13" spans="1:18" s="120" customFormat="1">
      <c r="A13" s="241"/>
      <c r="B13" s="241"/>
      <c r="C13" s="241"/>
      <c r="D13" s="241"/>
      <c r="E13" s="241"/>
      <c r="F13" s="241"/>
      <c r="G13" s="122">
        <f>F12*Assumptions!$B$8</f>
        <v>321113.09999999998</v>
      </c>
      <c r="H13" s="241"/>
      <c r="I13" s="241"/>
      <c r="J13" s="241"/>
      <c r="K13" s="126">
        <f>J12*Assumptions!$B$14</f>
        <v>1955999.9999999998</v>
      </c>
      <c r="L13" s="125">
        <f>K13/G13</f>
        <v>6.0913117527749563</v>
      </c>
      <c r="N13" s="170"/>
      <c r="P13" s="124">
        <f t="shared" si="0"/>
        <v>0.12182623505549912</v>
      </c>
    </row>
    <row r="14" spans="1:18" s="120" customFormat="1" hidden="1">
      <c r="A14" s="241" t="s">
        <v>102</v>
      </c>
      <c r="B14" s="241" t="s">
        <v>88</v>
      </c>
      <c r="C14" s="241" t="s">
        <v>89</v>
      </c>
      <c r="D14" s="241">
        <v>1979</v>
      </c>
      <c r="E14" s="241">
        <v>88</v>
      </c>
      <c r="F14" s="241">
        <v>6130000</v>
      </c>
      <c r="G14" s="122" t="s">
        <v>0</v>
      </c>
      <c r="H14" s="241">
        <v>87</v>
      </c>
      <c r="I14" s="241" t="s">
        <v>103</v>
      </c>
      <c r="J14" s="241">
        <v>28300000</v>
      </c>
      <c r="K14" s="126" t="s">
        <v>0</v>
      </c>
      <c r="L14" s="125" t="s">
        <v>0</v>
      </c>
      <c r="N14" s="170"/>
      <c r="P14" s="124" t="s">
        <v>0</v>
      </c>
    </row>
    <row r="15" spans="1:18" s="120" customFormat="1">
      <c r="A15" s="241"/>
      <c r="B15" s="241"/>
      <c r="C15" s="241"/>
      <c r="D15" s="241"/>
      <c r="E15" s="241"/>
      <c r="F15" s="241"/>
      <c r="G15" s="122">
        <f>F14*Assumptions!$B$8</f>
        <v>4686722.1499999994</v>
      </c>
      <c r="H15" s="241"/>
      <c r="I15" s="241"/>
      <c r="J15" s="241"/>
      <c r="K15" s="126">
        <f>J14*Assumptions!$B$14</f>
        <v>138387000</v>
      </c>
      <c r="L15" s="125">
        <f>K15/G15</f>
        <v>29.527459826053484</v>
      </c>
      <c r="N15" s="170"/>
      <c r="P15" s="124">
        <f t="shared" si="0"/>
        <v>0.59054919652106963</v>
      </c>
    </row>
    <row r="16" spans="1:18" s="120" customFormat="1" hidden="1">
      <c r="A16" s="241" t="s">
        <v>104</v>
      </c>
      <c r="B16" s="241" t="s">
        <v>105</v>
      </c>
      <c r="C16" s="241" t="s">
        <v>106</v>
      </c>
      <c r="D16" s="241">
        <v>1978</v>
      </c>
      <c r="E16" s="241">
        <v>3</v>
      </c>
      <c r="F16" s="241">
        <v>50000</v>
      </c>
      <c r="G16" s="122" t="s">
        <v>0</v>
      </c>
      <c r="H16" s="241">
        <v>100</v>
      </c>
      <c r="I16" s="241" t="s">
        <v>103</v>
      </c>
      <c r="J16" s="241">
        <v>300000</v>
      </c>
      <c r="K16" s="126" t="s">
        <v>0</v>
      </c>
      <c r="L16" s="125" t="s">
        <v>0</v>
      </c>
      <c r="N16" s="170"/>
      <c r="P16" s="124" t="s">
        <v>0</v>
      </c>
    </row>
    <row r="17" spans="1:16" s="120" customFormat="1">
      <c r="A17" s="241"/>
      <c r="B17" s="241"/>
      <c r="C17" s="241"/>
      <c r="D17" s="241"/>
      <c r="E17" s="241"/>
      <c r="F17" s="241"/>
      <c r="G17" s="122">
        <f>F16*Assumptions!$B$8</f>
        <v>38227.75</v>
      </c>
      <c r="H17" s="241"/>
      <c r="I17" s="241"/>
      <c r="J17" s="241"/>
      <c r="K17" s="126">
        <f>J16*Assumptions!$B$14</f>
        <v>1467000</v>
      </c>
      <c r="L17" s="125">
        <f>K17/G17</f>
        <v>38.375264042482229</v>
      </c>
      <c r="N17" s="170"/>
      <c r="P17" s="124">
        <f t="shared" si="0"/>
        <v>0.76750528084964453</v>
      </c>
    </row>
    <row r="18" spans="1:16" s="120" customFormat="1" hidden="1">
      <c r="A18" s="241" t="s">
        <v>107</v>
      </c>
      <c r="B18" s="241" t="s">
        <v>108</v>
      </c>
      <c r="C18" s="241" t="s">
        <v>89</v>
      </c>
      <c r="D18" s="241">
        <v>1984</v>
      </c>
      <c r="E18" s="241">
        <v>42</v>
      </c>
      <c r="F18" s="241">
        <v>1300000</v>
      </c>
      <c r="G18" s="122" t="s">
        <v>0</v>
      </c>
      <c r="H18" s="241">
        <v>30</v>
      </c>
      <c r="I18" s="241" t="s">
        <v>109</v>
      </c>
      <c r="J18" s="241">
        <v>7800000</v>
      </c>
      <c r="K18" s="126" t="s">
        <v>0</v>
      </c>
      <c r="L18" s="125" t="s">
        <v>0</v>
      </c>
      <c r="N18" s="170"/>
      <c r="P18" s="124" t="s">
        <v>0</v>
      </c>
    </row>
    <row r="19" spans="1:16" s="120" customFormat="1">
      <c r="A19" s="241"/>
      <c r="B19" s="241"/>
      <c r="C19" s="241"/>
      <c r="D19" s="241"/>
      <c r="E19" s="241"/>
      <c r="F19" s="241"/>
      <c r="G19" s="122">
        <f>F18*Assumptions!$B$8</f>
        <v>993921.5</v>
      </c>
      <c r="H19" s="241"/>
      <c r="I19" s="241"/>
      <c r="J19" s="241"/>
      <c r="K19" s="126">
        <f>J18*4</f>
        <v>31200000</v>
      </c>
      <c r="L19" s="125">
        <f>K19/G19</f>
        <v>31.390809032705299</v>
      </c>
      <c r="N19" s="170"/>
      <c r="P19" s="124">
        <f t="shared" si="0"/>
        <v>0.62781618065410594</v>
      </c>
    </row>
    <row r="20" spans="1:16" s="120" customFormat="1" hidden="1">
      <c r="A20" s="241" t="s">
        <v>110</v>
      </c>
      <c r="B20" s="241" t="s">
        <v>111</v>
      </c>
      <c r="C20" s="241" t="s">
        <v>106</v>
      </c>
      <c r="D20" s="241">
        <v>1974</v>
      </c>
      <c r="E20" s="241">
        <v>36</v>
      </c>
      <c r="F20" s="241">
        <v>310000</v>
      </c>
      <c r="G20" s="122" t="s">
        <v>0</v>
      </c>
      <c r="H20" s="241">
        <v>100</v>
      </c>
      <c r="I20" s="241" t="s">
        <v>112</v>
      </c>
      <c r="J20" s="241">
        <v>433000</v>
      </c>
      <c r="K20" s="126" t="s">
        <v>0</v>
      </c>
      <c r="L20" s="125" t="s">
        <v>0</v>
      </c>
      <c r="N20" s="170"/>
      <c r="P20" s="124" t="s">
        <v>0</v>
      </c>
    </row>
    <row r="21" spans="1:16" s="120" customFormat="1">
      <c r="A21" s="241"/>
      <c r="B21" s="241"/>
      <c r="C21" s="241"/>
      <c r="D21" s="241"/>
      <c r="E21" s="241"/>
      <c r="F21" s="241"/>
      <c r="G21" s="122">
        <f>F20*Assumptions!$B$8</f>
        <v>237012.05</v>
      </c>
      <c r="H21" s="241"/>
      <c r="I21" s="241"/>
      <c r="J21" s="241"/>
      <c r="K21" s="126">
        <f>J20*Assumptions!$B$14</f>
        <v>2117370</v>
      </c>
      <c r="L21" s="125">
        <f>K21/G21</f>
        <v>8.933596414190756</v>
      </c>
      <c r="N21" s="170"/>
      <c r="P21" s="124">
        <f t="shared" si="0"/>
        <v>0.17867192828381512</v>
      </c>
    </row>
    <row r="22" spans="1:16" s="120" customFormat="1" hidden="1">
      <c r="A22" s="241" t="s">
        <v>113</v>
      </c>
      <c r="B22" s="241" t="s">
        <v>114</v>
      </c>
      <c r="C22" s="241" t="s">
        <v>89</v>
      </c>
      <c r="D22" s="241">
        <v>1975</v>
      </c>
      <c r="E22" s="241">
        <v>44</v>
      </c>
      <c r="F22" s="241">
        <v>1600000</v>
      </c>
      <c r="G22" s="122" t="s">
        <v>0</v>
      </c>
      <c r="H22" s="241">
        <v>87</v>
      </c>
      <c r="I22" s="241" t="s">
        <v>115</v>
      </c>
      <c r="J22" s="241">
        <v>5963000</v>
      </c>
      <c r="K22" s="126" t="s">
        <v>0</v>
      </c>
      <c r="L22" s="125" t="s">
        <v>0</v>
      </c>
      <c r="N22" s="170"/>
      <c r="P22" s="124" t="s">
        <v>0</v>
      </c>
    </row>
    <row r="23" spans="1:16" s="120" customFormat="1">
      <c r="A23" s="241"/>
      <c r="B23" s="241"/>
      <c r="C23" s="241"/>
      <c r="D23" s="241"/>
      <c r="E23" s="241"/>
      <c r="F23" s="241"/>
      <c r="G23" s="122">
        <f>F22*Assumptions!$B$8</f>
        <v>1223288</v>
      </c>
      <c r="H23" s="241"/>
      <c r="I23" s="241"/>
      <c r="J23" s="241"/>
      <c r="K23" s="126">
        <f>J22*Assumptions!$B$14</f>
        <v>29159069.999999996</v>
      </c>
      <c r="L23" s="125">
        <f>K23/G23</f>
        <v>23.836635363054324</v>
      </c>
      <c r="N23" s="170"/>
      <c r="P23" s="124">
        <f t="shared" si="0"/>
        <v>0.47673270726108646</v>
      </c>
    </row>
    <row r="24" spans="1:16" s="120" customFormat="1" hidden="1">
      <c r="A24" s="241" t="s">
        <v>116</v>
      </c>
      <c r="B24" s="241" t="s">
        <v>111</v>
      </c>
      <c r="C24" s="241" t="s">
        <v>117</v>
      </c>
      <c r="D24" s="241">
        <v>1975</v>
      </c>
      <c r="E24" s="241">
        <v>174</v>
      </c>
      <c r="F24" s="241">
        <v>2000000</v>
      </c>
      <c r="G24" s="122" t="s">
        <v>0</v>
      </c>
      <c r="H24" s="241">
        <v>67</v>
      </c>
      <c r="I24" s="241" t="s">
        <v>97</v>
      </c>
      <c r="J24" s="241">
        <v>5072000</v>
      </c>
      <c r="K24" s="126" t="s">
        <v>0</v>
      </c>
      <c r="L24" s="125" t="s">
        <v>0</v>
      </c>
      <c r="N24" s="170"/>
      <c r="P24" s="124" t="s">
        <v>0</v>
      </c>
    </row>
    <row r="25" spans="1:16" s="120" customFormat="1">
      <c r="A25" s="241"/>
      <c r="B25" s="241"/>
      <c r="C25" s="241"/>
      <c r="D25" s="241"/>
      <c r="E25" s="241"/>
      <c r="F25" s="241"/>
      <c r="G25" s="122">
        <f>F24*Assumptions!$B$8</f>
        <v>1529110</v>
      </c>
      <c r="H25" s="241"/>
      <c r="I25" s="241"/>
      <c r="J25" s="241"/>
      <c r="K25" s="126">
        <f>J24*Assumptions!$B$14</f>
        <v>24802080</v>
      </c>
      <c r="L25" s="125">
        <f>K25/G25</f>
        <v>16.219944935289156</v>
      </c>
      <c r="N25" s="170"/>
      <c r="P25" s="124">
        <f t="shared" si="0"/>
        <v>0.32439889870578315</v>
      </c>
    </row>
    <row r="26" spans="1:16" s="120" customFormat="1" hidden="1">
      <c r="A26" s="241" t="s">
        <v>118</v>
      </c>
      <c r="B26" s="241" t="s">
        <v>114</v>
      </c>
      <c r="C26" s="241" t="s">
        <v>89</v>
      </c>
      <c r="D26" s="241">
        <v>1975</v>
      </c>
      <c r="E26" s="241">
        <v>24</v>
      </c>
      <c r="F26" s="241">
        <v>800000</v>
      </c>
      <c r="G26" s="122" t="s">
        <v>0</v>
      </c>
      <c r="H26" s="241">
        <v>45</v>
      </c>
      <c r="I26" s="241" t="s">
        <v>119</v>
      </c>
      <c r="J26" s="241">
        <v>4147000</v>
      </c>
      <c r="K26" s="126" t="s">
        <v>0</v>
      </c>
      <c r="L26" s="125" t="s">
        <v>0</v>
      </c>
      <c r="N26" s="170"/>
      <c r="P26" s="124" t="s">
        <v>0</v>
      </c>
    </row>
    <row r="27" spans="1:16" s="120" customFormat="1">
      <c r="A27" s="241"/>
      <c r="B27" s="241"/>
      <c r="C27" s="241"/>
      <c r="D27" s="241"/>
      <c r="E27" s="241"/>
      <c r="F27" s="241"/>
      <c r="G27" s="122">
        <f>F26*Assumptions!$B$8</f>
        <v>611644</v>
      </c>
      <c r="H27" s="241"/>
      <c r="I27" s="241"/>
      <c r="J27" s="241"/>
      <c r="K27" s="126">
        <f>J26*Assumptions!$B$14</f>
        <v>20278830</v>
      </c>
      <c r="L27" s="125">
        <f>K27/G27</f>
        <v>33.154629163369542</v>
      </c>
      <c r="N27" s="170"/>
      <c r="P27" s="124">
        <f t="shared" si="0"/>
        <v>0.66309258326739084</v>
      </c>
    </row>
    <row r="28" spans="1:16" s="120" customFormat="1" hidden="1">
      <c r="A28" s="241" t="s">
        <v>120</v>
      </c>
      <c r="B28" s="241" t="s">
        <v>114</v>
      </c>
      <c r="C28" s="241" t="s">
        <v>89</v>
      </c>
      <c r="D28" s="241">
        <v>1975</v>
      </c>
      <c r="E28" s="241">
        <v>32</v>
      </c>
      <c r="F28" s="241">
        <v>750000</v>
      </c>
      <c r="G28" s="122" t="s">
        <v>0</v>
      </c>
      <c r="H28" s="241">
        <v>100</v>
      </c>
      <c r="I28" s="241" t="s">
        <v>112</v>
      </c>
      <c r="J28" s="241">
        <v>8270000</v>
      </c>
      <c r="K28" s="126" t="s">
        <v>0</v>
      </c>
      <c r="L28" s="125" t="s">
        <v>0</v>
      </c>
      <c r="N28" s="170"/>
      <c r="P28" s="124" t="s">
        <v>0</v>
      </c>
    </row>
    <row r="29" spans="1:16" s="120" customFormat="1">
      <c r="A29" s="241"/>
      <c r="B29" s="241"/>
      <c r="C29" s="241"/>
      <c r="D29" s="241"/>
      <c r="E29" s="241"/>
      <c r="F29" s="241"/>
      <c r="G29" s="122">
        <f>F28*Assumptions!$B$8</f>
        <v>573416.25</v>
      </c>
      <c r="H29" s="241"/>
      <c r="I29" s="241"/>
      <c r="J29" s="241"/>
      <c r="K29" s="126">
        <f>J28*Assumptions!$B$14</f>
        <v>40440300</v>
      </c>
      <c r="L29" s="125">
        <f>K29/G29</f>
        <v>70.525207473628456</v>
      </c>
      <c r="N29" s="170"/>
      <c r="P29" s="124">
        <f t="shared" si="0"/>
        <v>1.4105041494725692</v>
      </c>
    </row>
    <row r="30" spans="1:16" s="120" customFormat="1" hidden="1">
      <c r="A30" s="241" t="s">
        <v>121</v>
      </c>
      <c r="B30" s="241" t="s">
        <v>111</v>
      </c>
      <c r="C30" s="241" t="s">
        <v>89</v>
      </c>
      <c r="D30" s="241">
        <v>1978</v>
      </c>
      <c r="E30" s="241">
        <v>25</v>
      </c>
      <c r="F30" s="241">
        <v>335000</v>
      </c>
      <c r="G30" s="122" t="s">
        <v>0</v>
      </c>
      <c r="H30" s="241">
        <v>44</v>
      </c>
      <c r="I30" s="241" t="s">
        <v>109</v>
      </c>
      <c r="J30" s="241">
        <v>972000</v>
      </c>
      <c r="K30" s="126" t="s">
        <v>0</v>
      </c>
      <c r="L30" s="125" t="s">
        <v>0</v>
      </c>
      <c r="N30" s="170"/>
      <c r="P30" s="124" t="s">
        <v>0</v>
      </c>
    </row>
    <row r="31" spans="1:16" s="120" customFormat="1">
      <c r="A31" s="241"/>
      <c r="B31" s="241"/>
      <c r="C31" s="241"/>
      <c r="D31" s="241"/>
      <c r="E31" s="241"/>
      <c r="F31" s="241"/>
      <c r="G31" s="122">
        <f>F30*Assumptions!$B$8</f>
        <v>256125.92499999999</v>
      </c>
      <c r="H31" s="241"/>
      <c r="I31" s="241"/>
      <c r="J31" s="241"/>
      <c r="K31" s="126">
        <f>J30*Assumptions!$B$14</f>
        <v>4753080</v>
      </c>
      <c r="L31" s="125">
        <f>K31/G31</f>
        <v>18.557590372782453</v>
      </c>
      <c r="N31" s="170"/>
      <c r="P31" s="124">
        <f t="shared" si="0"/>
        <v>0.37115180745564907</v>
      </c>
    </row>
    <row r="32" spans="1:16" s="120" customFormat="1" hidden="1">
      <c r="A32" s="241" t="s">
        <v>122</v>
      </c>
      <c r="B32" s="241" t="s">
        <v>111</v>
      </c>
      <c r="C32" s="241" t="s">
        <v>117</v>
      </c>
      <c r="D32" s="241">
        <v>1978</v>
      </c>
      <c r="E32" s="241">
        <v>283</v>
      </c>
      <c r="F32" s="241">
        <v>10000000</v>
      </c>
      <c r="G32" s="122" t="s">
        <v>0</v>
      </c>
      <c r="H32" s="241">
        <v>87</v>
      </c>
      <c r="I32" s="241" t="s">
        <v>97</v>
      </c>
      <c r="J32" s="241">
        <v>14844000</v>
      </c>
      <c r="K32" s="126" t="s">
        <v>0</v>
      </c>
      <c r="L32" s="125" t="s">
        <v>0</v>
      </c>
      <c r="N32" s="170"/>
      <c r="P32" s="124" t="s">
        <v>0</v>
      </c>
    </row>
    <row r="33" spans="1:16" s="120" customFormat="1">
      <c r="A33" s="241"/>
      <c r="B33" s="241"/>
      <c r="C33" s="241"/>
      <c r="D33" s="241"/>
      <c r="E33" s="241"/>
      <c r="F33" s="241"/>
      <c r="G33" s="122">
        <f>F32*Assumptions!$B$8</f>
        <v>7645550</v>
      </c>
      <c r="H33" s="241"/>
      <c r="I33" s="241"/>
      <c r="J33" s="241"/>
      <c r="K33" s="126">
        <f>J32*Assumptions!$B$14</f>
        <v>72587160</v>
      </c>
      <c r="L33" s="125">
        <f>K33/G33</f>
        <v>9.4940403241101041</v>
      </c>
      <c r="N33" s="170"/>
      <c r="P33" s="124">
        <f t="shared" si="0"/>
        <v>0.18988080648220207</v>
      </c>
    </row>
    <row r="34" spans="1:16" s="120" customFormat="1" hidden="1">
      <c r="A34" s="241" t="s">
        <v>160</v>
      </c>
      <c r="B34" s="241" t="s">
        <v>111</v>
      </c>
      <c r="C34" s="241" t="s">
        <v>89</v>
      </c>
      <c r="D34" s="241">
        <v>1978</v>
      </c>
      <c r="E34" s="241">
        <v>11</v>
      </c>
      <c r="F34" s="241">
        <v>120000</v>
      </c>
      <c r="G34" s="122" t="s">
        <v>0</v>
      </c>
      <c r="H34" s="241">
        <v>100</v>
      </c>
      <c r="I34" s="241" t="s">
        <v>103</v>
      </c>
      <c r="J34" s="241">
        <v>1583000</v>
      </c>
      <c r="K34" s="126" t="s">
        <v>0</v>
      </c>
      <c r="L34" s="125" t="s">
        <v>0</v>
      </c>
      <c r="N34" s="170"/>
      <c r="P34" s="124" t="s">
        <v>0</v>
      </c>
    </row>
    <row r="35" spans="1:16" s="120" customFormat="1">
      <c r="A35" s="241"/>
      <c r="B35" s="241"/>
      <c r="C35" s="241"/>
      <c r="D35" s="241"/>
      <c r="E35" s="241"/>
      <c r="F35" s="241"/>
      <c r="G35" s="122">
        <f>F34*Assumptions!$B$8</f>
        <v>91746.599999999991</v>
      </c>
      <c r="H35" s="241"/>
      <c r="I35" s="241"/>
      <c r="J35" s="241"/>
      <c r="K35" s="126">
        <f>J34*Assumptions!$B$14</f>
        <v>7740869.9999999991</v>
      </c>
      <c r="L35" s="125">
        <f>K35/G35</f>
        <v>84.372281915624114</v>
      </c>
      <c r="N35" s="170"/>
      <c r="P35" s="124">
        <f t="shared" si="0"/>
        <v>1.6874456383124823</v>
      </c>
    </row>
    <row r="36" spans="1:16" s="120" customFormat="1" hidden="1">
      <c r="A36" s="241" t="s">
        <v>161</v>
      </c>
      <c r="B36" s="241" t="s">
        <v>111</v>
      </c>
      <c r="C36" s="241" t="s">
        <v>117</v>
      </c>
      <c r="D36" s="241">
        <v>1978</v>
      </c>
      <c r="E36" s="241">
        <v>17</v>
      </c>
      <c r="F36" s="241">
        <v>160000</v>
      </c>
      <c r="G36" s="122" t="s">
        <v>0</v>
      </c>
      <c r="H36" s="241">
        <v>100</v>
      </c>
      <c r="I36" s="241" t="s">
        <v>103</v>
      </c>
      <c r="J36" s="241">
        <v>1654000</v>
      </c>
      <c r="K36" s="126" t="s">
        <v>0</v>
      </c>
      <c r="L36" s="125" t="s">
        <v>0</v>
      </c>
      <c r="N36" s="170"/>
      <c r="P36" s="124" t="s">
        <v>0</v>
      </c>
    </row>
    <row r="37" spans="1:16" s="120" customFormat="1">
      <c r="A37" s="241"/>
      <c r="B37" s="241"/>
      <c r="C37" s="241"/>
      <c r="D37" s="241"/>
      <c r="E37" s="241"/>
      <c r="F37" s="241"/>
      <c r="G37" s="122">
        <f>F36*Assumptions!$B$8</f>
        <v>122328.8</v>
      </c>
      <c r="H37" s="241"/>
      <c r="I37" s="241"/>
      <c r="J37" s="241"/>
      <c r="K37" s="126">
        <f>J36*Assumptions!$B$14</f>
        <v>8088059.9999999991</v>
      </c>
      <c r="L37" s="125">
        <f>K37/G37</f>
        <v>66.117382006526668</v>
      </c>
      <c r="N37" s="170"/>
      <c r="P37" s="124">
        <f t="shared" si="0"/>
        <v>1.3223476401305334</v>
      </c>
    </row>
    <row r="38" spans="1:16" s="120" customFormat="1" hidden="1">
      <c r="A38" s="241" t="s">
        <v>123</v>
      </c>
      <c r="B38" s="241" t="s">
        <v>111</v>
      </c>
      <c r="C38" s="241" t="s">
        <v>106</v>
      </c>
      <c r="D38" s="241">
        <v>1979</v>
      </c>
      <c r="E38" s="241">
        <v>9</v>
      </c>
      <c r="F38" s="241">
        <v>84000</v>
      </c>
      <c r="G38" s="122" t="s">
        <v>0</v>
      </c>
      <c r="H38" s="241">
        <v>100</v>
      </c>
      <c r="I38" s="241" t="s">
        <v>124</v>
      </c>
      <c r="J38" s="241">
        <v>1300000</v>
      </c>
      <c r="K38" s="126" t="s">
        <v>0</v>
      </c>
      <c r="L38" s="125" t="s">
        <v>0</v>
      </c>
      <c r="N38" s="170"/>
      <c r="P38" s="124" t="s">
        <v>0</v>
      </c>
    </row>
    <row r="39" spans="1:16" s="120" customFormat="1">
      <c r="A39" s="241"/>
      <c r="B39" s="241"/>
      <c r="C39" s="241"/>
      <c r="D39" s="241"/>
      <c r="E39" s="241"/>
      <c r="F39" s="241"/>
      <c r="G39" s="122">
        <f>F38*Assumptions!$B$8</f>
        <v>64222.619999999995</v>
      </c>
      <c r="H39" s="241"/>
      <c r="I39" s="241"/>
      <c r="J39" s="241"/>
      <c r="K39" s="126">
        <f>J38*Assumptions!$B$14</f>
        <v>6357000</v>
      </c>
      <c r="L39" s="125">
        <f>K39/G39</f>
        <v>98.983815982593057</v>
      </c>
      <c r="N39" s="170"/>
      <c r="P39" s="124">
        <f>L39/$M$3</f>
        <v>1.9796763196518612</v>
      </c>
    </row>
    <row r="40" spans="1:16" s="120" customFormat="1" hidden="1">
      <c r="A40" s="241" t="s">
        <v>125</v>
      </c>
      <c r="B40" s="241" t="s">
        <v>126</v>
      </c>
      <c r="C40" s="241" t="s">
        <v>89</v>
      </c>
      <c r="D40" s="241">
        <v>1979</v>
      </c>
      <c r="E40" s="241">
        <v>82</v>
      </c>
      <c r="F40" s="241">
        <v>1000000</v>
      </c>
      <c r="G40" s="122" t="s">
        <v>0</v>
      </c>
      <c r="H40" s="241">
        <v>65</v>
      </c>
      <c r="I40" s="241" t="s">
        <v>127</v>
      </c>
      <c r="J40" s="241">
        <v>1558000</v>
      </c>
      <c r="K40" s="126" t="s">
        <v>0</v>
      </c>
      <c r="L40" s="125" t="s">
        <v>0</v>
      </c>
      <c r="N40" s="170"/>
      <c r="P40" s="124" t="s">
        <v>0</v>
      </c>
    </row>
    <row r="41" spans="1:16" s="120" customFormat="1">
      <c r="A41" s="241"/>
      <c r="B41" s="241"/>
      <c r="C41" s="241"/>
      <c r="D41" s="241"/>
      <c r="E41" s="241"/>
      <c r="F41" s="241"/>
      <c r="G41" s="122">
        <f>F40*Assumptions!$B$8</f>
        <v>764555</v>
      </c>
      <c r="H41" s="241"/>
      <c r="I41" s="241"/>
      <c r="J41" s="241"/>
      <c r="K41" s="126">
        <f>J40*Assumptions!$B$14</f>
        <v>7618619.9999999991</v>
      </c>
      <c r="L41" s="125">
        <f>K41/G41</f>
        <v>9.9647768963645511</v>
      </c>
      <c r="N41" s="170"/>
      <c r="P41" s="124">
        <f t="shared" si="0"/>
        <v>0.19929553792729102</v>
      </c>
    </row>
    <row r="42" spans="1:16" s="120" customFormat="1" hidden="1">
      <c r="A42" s="241" t="s">
        <v>128</v>
      </c>
      <c r="B42" s="241" t="s">
        <v>111</v>
      </c>
      <c r="C42" s="241" t="s">
        <v>117</v>
      </c>
      <c r="D42" s="241">
        <v>1981</v>
      </c>
      <c r="E42" s="241">
        <v>700</v>
      </c>
      <c r="F42" s="241">
        <v>18000000</v>
      </c>
      <c r="G42" s="122" t="s">
        <v>0</v>
      </c>
      <c r="H42" s="241">
        <v>45</v>
      </c>
      <c r="I42" s="241" t="s">
        <v>129</v>
      </c>
      <c r="J42" s="241">
        <v>55856000</v>
      </c>
      <c r="K42" s="126" t="s">
        <v>0</v>
      </c>
      <c r="L42" s="125" t="s">
        <v>0</v>
      </c>
      <c r="N42" s="170"/>
      <c r="P42" s="124" t="s">
        <v>0</v>
      </c>
    </row>
    <row r="43" spans="1:16" s="120" customFormat="1">
      <c r="A43" s="241"/>
      <c r="B43" s="241"/>
      <c r="C43" s="241"/>
      <c r="D43" s="241"/>
      <c r="E43" s="241"/>
      <c r="F43" s="241"/>
      <c r="G43" s="122">
        <f>F42*Assumptions!$B$8</f>
        <v>13761990</v>
      </c>
      <c r="H43" s="241"/>
      <c r="I43" s="241"/>
      <c r="J43" s="241"/>
      <c r="K43" s="126">
        <f>J42*Assumptions!$B$14</f>
        <v>273135840</v>
      </c>
      <c r="L43" s="125">
        <f>K43/G43</f>
        <v>19.847118040341549</v>
      </c>
      <c r="N43" s="170"/>
      <c r="P43" s="124">
        <f t="shared" si="0"/>
        <v>0.39694236080683098</v>
      </c>
    </row>
    <row r="44" spans="1:16" s="120" customFormat="1" hidden="1">
      <c r="A44" s="241" t="s">
        <v>130</v>
      </c>
      <c r="B44" s="241" t="s">
        <v>114</v>
      </c>
      <c r="C44" s="241" t="s">
        <v>117</v>
      </c>
      <c r="D44" s="241">
        <v>1979</v>
      </c>
      <c r="E44" s="241">
        <v>60</v>
      </c>
      <c r="F44" s="241">
        <v>1200000</v>
      </c>
      <c r="G44" s="122" t="s">
        <v>0</v>
      </c>
      <c r="H44" s="241">
        <v>99</v>
      </c>
      <c r="I44" s="241" t="s">
        <v>127</v>
      </c>
      <c r="J44" s="241">
        <v>5565000</v>
      </c>
      <c r="K44" s="126" t="s">
        <v>0</v>
      </c>
      <c r="L44" s="125" t="s">
        <v>0</v>
      </c>
      <c r="N44" s="170"/>
      <c r="P44" s="124" t="s">
        <v>0</v>
      </c>
    </row>
    <row r="45" spans="1:16" s="120" customFormat="1">
      <c r="A45" s="241"/>
      <c r="B45" s="241"/>
      <c r="C45" s="241"/>
      <c r="D45" s="241"/>
      <c r="E45" s="241"/>
      <c r="F45" s="241"/>
      <c r="G45" s="122">
        <f>F44*Assumptions!$B$8</f>
        <v>917466</v>
      </c>
      <c r="H45" s="241"/>
      <c r="I45" s="241"/>
      <c r="J45" s="241"/>
      <c r="K45" s="126">
        <f>J44*Assumptions!$B$14</f>
        <v>27212850</v>
      </c>
      <c r="L45" s="125">
        <f>K45/G45</f>
        <v>29.660881166168554</v>
      </c>
      <c r="N45" s="170"/>
      <c r="P45" s="124">
        <f t="shared" si="0"/>
        <v>0.59321762332337113</v>
      </c>
    </row>
    <row r="46" spans="1:16" s="120" customFormat="1" hidden="1">
      <c r="A46" s="241" t="s">
        <v>131</v>
      </c>
      <c r="B46" s="241" t="s">
        <v>114</v>
      </c>
      <c r="C46" s="241" t="s">
        <v>89</v>
      </c>
      <c r="D46" s="241">
        <v>1982</v>
      </c>
      <c r="E46" s="241">
        <v>28</v>
      </c>
      <c r="F46" s="241">
        <v>500000</v>
      </c>
      <c r="G46" s="122" t="s">
        <v>0</v>
      </c>
      <c r="H46" s="241">
        <v>74</v>
      </c>
      <c r="I46" s="241" t="s">
        <v>127</v>
      </c>
      <c r="J46" s="241">
        <v>2017000</v>
      </c>
      <c r="K46" s="126" t="s">
        <v>0</v>
      </c>
      <c r="L46" s="125" t="s">
        <v>0</v>
      </c>
      <c r="N46" s="170"/>
      <c r="P46" s="124" t="s">
        <v>0</v>
      </c>
    </row>
    <row r="47" spans="1:16" s="120" customFormat="1">
      <c r="A47" s="241"/>
      <c r="B47" s="241"/>
      <c r="C47" s="241"/>
      <c r="D47" s="241"/>
      <c r="E47" s="241"/>
      <c r="F47" s="241"/>
      <c r="G47" s="122">
        <f>F46*Assumptions!$B$8</f>
        <v>382277.5</v>
      </c>
      <c r="H47" s="241"/>
      <c r="I47" s="241"/>
      <c r="J47" s="241"/>
      <c r="K47" s="126">
        <f>J46*3</f>
        <v>6051000</v>
      </c>
      <c r="L47" s="125">
        <f>K47/G47</f>
        <v>15.828815454741648</v>
      </c>
      <c r="N47" s="170"/>
      <c r="P47" s="124">
        <f t="shared" si="0"/>
        <v>0.31657630909483297</v>
      </c>
    </row>
    <row r="48" spans="1:16" s="120" customFormat="1" hidden="1">
      <c r="A48" s="241" t="s">
        <v>132</v>
      </c>
      <c r="B48" s="241" t="s">
        <v>111</v>
      </c>
      <c r="C48" s="241" t="s">
        <v>106</v>
      </c>
      <c r="D48" s="241">
        <v>1982</v>
      </c>
      <c r="E48" s="241">
        <v>80</v>
      </c>
      <c r="F48" s="241">
        <v>74000</v>
      </c>
      <c r="G48" s="122" t="s">
        <v>0</v>
      </c>
      <c r="H48" s="241">
        <v>3</v>
      </c>
      <c r="I48" s="241"/>
      <c r="J48" s="241">
        <v>800000</v>
      </c>
      <c r="K48" s="126" t="s">
        <v>0</v>
      </c>
      <c r="L48" s="125" t="s">
        <v>0</v>
      </c>
      <c r="N48" s="170"/>
      <c r="P48" s="124" t="s">
        <v>0</v>
      </c>
    </row>
    <row r="49" spans="1:16" s="120" customFormat="1">
      <c r="A49" s="241"/>
      <c r="B49" s="241"/>
      <c r="C49" s="241"/>
      <c r="D49" s="241"/>
      <c r="E49" s="241"/>
      <c r="F49" s="241"/>
      <c r="G49" s="122">
        <f>F48*Assumptions!$B$8</f>
        <v>56577.07</v>
      </c>
      <c r="H49" s="241"/>
      <c r="I49" s="241"/>
      <c r="J49" s="241"/>
      <c r="K49" s="126">
        <f>J48*3.9</f>
        <v>3120000</v>
      </c>
      <c r="L49" s="125">
        <f>K49/G49</f>
        <v>55.146015868266069</v>
      </c>
      <c r="N49" s="170"/>
      <c r="P49" s="124">
        <f t="shared" si="0"/>
        <v>1.1029203173653215</v>
      </c>
    </row>
    <row r="50" spans="1:16" s="120" customFormat="1" hidden="1">
      <c r="A50" s="241" t="s">
        <v>133</v>
      </c>
      <c r="B50" s="241" t="s">
        <v>111</v>
      </c>
      <c r="C50" s="241" t="s">
        <v>106</v>
      </c>
      <c r="D50" s="241">
        <v>1982</v>
      </c>
      <c r="E50" s="241">
        <v>9</v>
      </c>
      <c r="F50" s="241">
        <v>19500</v>
      </c>
      <c r="G50" s="122" t="s">
        <v>0</v>
      </c>
      <c r="H50" s="241">
        <v>38</v>
      </c>
      <c r="I50" s="241" t="s">
        <v>97</v>
      </c>
      <c r="J50" s="241">
        <v>176000</v>
      </c>
      <c r="K50" s="126" t="s">
        <v>0</v>
      </c>
      <c r="L50" s="125" t="s">
        <v>0</v>
      </c>
      <c r="N50" s="170"/>
      <c r="P50" s="124" t="s">
        <v>0</v>
      </c>
    </row>
    <row r="51" spans="1:16" s="120" customFormat="1">
      <c r="A51" s="241"/>
      <c r="B51" s="241"/>
      <c r="C51" s="241"/>
      <c r="D51" s="241"/>
      <c r="E51" s="241"/>
      <c r="F51" s="241"/>
      <c r="G51" s="122">
        <f>F50*Assumptions!$B$8</f>
        <v>14908.8225</v>
      </c>
      <c r="H51" s="241"/>
      <c r="I51" s="241"/>
      <c r="J51" s="241"/>
      <c r="K51" s="126">
        <f>J50*3.9</f>
        <v>686400</v>
      </c>
      <c r="L51" s="125">
        <f>K51/G51</f>
        <v>46.03985324796777</v>
      </c>
      <c r="N51" s="170"/>
      <c r="P51" s="124">
        <f t="shared" si="0"/>
        <v>0.92079706495935543</v>
      </c>
    </row>
    <row r="52" spans="1:16" s="120" customFormat="1" hidden="1">
      <c r="A52" s="241" t="s">
        <v>134</v>
      </c>
      <c r="B52" s="241" t="s">
        <v>111</v>
      </c>
      <c r="C52" s="241" t="s">
        <v>89</v>
      </c>
      <c r="D52" s="241">
        <v>1983</v>
      </c>
      <c r="E52" s="241">
        <v>89</v>
      </c>
      <c r="F52" s="241">
        <v>4300000</v>
      </c>
      <c r="G52" s="122" t="s">
        <v>0</v>
      </c>
      <c r="H52" s="241">
        <v>66</v>
      </c>
      <c r="I52" s="241" t="s">
        <v>135</v>
      </c>
      <c r="J52" s="241">
        <v>38380000</v>
      </c>
      <c r="K52" s="126" t="s">
        <v>0</v>
      </c>
      <c r="L52" s="125" t="s">
        <v>0</v>
      </c>
      <c r="N52" s="170"/>
      <c r="P52" s="124" t="s">
        <v>0</v>
      </c>
    </row>
    <row r="53" spans="1:16" s="120" customFormat="1">
      <c r="A53" s="241"/>
      <c r="B53" s="241"/>
      <c r="C53" s="241"/>
      <c r="D53" s="241"/>
      <c r="E53" s="241"/>
      <c r="F53" s="241"/>
      <c r="G53" s="122">
        <f>F52*Assumptions!$B$8</f>
        <v>3287586.5</v>
      </c>
      <c r="H53" s="241"/>
      <c r="I53" s="241"/>
      <c r="J53" s="241"/>
      <c r="K53" s="126">
        <f>J52*3.9</f>
        <v>149682000</v>
      </c>
      <c r="L53" s="125">
        <f>K53/G53</f>
        <v>45.529448426680183</v>
      </c>
      <c r="N53" s="170"/>
      <c r="P53" s="124">
        <f t="shared" si="0"/>
        <v>0.91058896853360372</v>
      </c>
    </row>
    <row r="54" spans="1:16" s="120" customFormat="1" hidden="1">
      <c r="A54" s="241" t="s">
        <v>136</v>
      </c>
      <c r="B54" s="241" t="s">
        <v>111</v>
      </c>
      <c r="C54" s="241" t="s">
        <v>106</v>
      </c>
      <c r="D54" s="241">
        <v>1987</v>
      </c>
      <c r="E54" s="241">
        <v>21</v>
      </c>
      <c r="F54" s="241">
        <v>308000</v>
      </c>
      <c r="G54" s="122" t="s">
        <v>0</v>
      </c>
      <c r="H54" s="241">
        <v>79</v>
      </c>
      <c r="I54" s="241"/>
      <c r="J54" s="241">
        <v>941000</v>
      </c>
      <c r="K54" s="126" t="s">
        <v>0</v>
      </c>
      <c r="L54" s="125" t="s">
        <v>0</v>
      </c>
      <c r="N54" s="170"/>
      <c r="P54" s="124" t="s">
        <v>0</v>
      </c>
    </row>
    <row r="55" spans="1:16" s="120" customFormat="1">
      <c r="A55" s="241"/>
      <c r="B55" s="241"/>
      <c r="C55" s="241"/>
      <c r="D55" s="241"/>
      <c r="E55" s="241"/>
      <c r="F55" s="241"/>
      <c r="G55" s="122">
        <f>F54*Assumptions!$B$8</f>
        <v>235482.94</v>
      </c>
      <c r="H55" s="241"/>
      <c r="I55" s="241"/>
      <c r="J55" s="241"/>
      <c r="K55" s="126">
        <f>J54*3.9</f>
        <v>3669900</v>
      </c>
      <c r="L55" s="125">
        <f>K55/G55</f>
        <v>15.584568461732301</v>
      </c>
      <c r="N55" s="170"/>
      <c r="P55" s="124">
        <f t="shared" si="0"/>
        <v>0.31169136923464602</v>
      </c>
    </row>
    <row r="56" spans="1:16" s="120" customFormat="1" hidden="1">
      <c r="A56" s="241" t="s">
        <v>137</v>
      </c>
      <c r="B56" s="241" t="s">
        <v>111</v>
      </c>
      <c r="C56" s="241" t="s">
        <v>106</v>
      </c>
      <c r="D56" s="241">
        <v>1989</v>
      </c>
      <c r="E56" s="241">
        <v>30</v>
      </c>
      <c r="F56" s="241">
        <v>370000</v>
      </c>
      <c r="G56" s="122" t="s">
        <v>0</v>
      </c>
      <c r="H56" s="241">
        <v>26</v>
      </c>
      <c r="I56" s="241" t="s">
        <v>138</v>
      </c>
      <c r="J56" s="241">
        <v>2618000</v>
      </c>
      <c r="K56" s="126" t="s">
        <v>0</v>
      </c>
      <c r="L56" s="125" t="s">
        <v>0</v>
      </c>
      <c r="N56" s="170"/>
      <c r="P56" s="124" t="s">
        <v>0</v>
      </c>
    </row>
    <row r="57" spans="1:16" s="120" customFormat="1">
      <c r="A57" s="241"/>
      <c r="B57" s="241"/>
      <c r="C57" s="241"/>
      <c r="D57" s="241"/>
      <c r="E57" s="241"/>
      <c r="F57" s="241"/>
      <c r="G57" s="122">
        <f>F56*Assumptions!$B$8</f>
        <v>282885.34999999998</v>
      </c>
      <c r="H57" s="241"/>
      <c r="I57" s="241"/>
      <c r="J57" s="241"/>
      <c r="K57" s="126">
        <f>J56*3.9</f>
        <v>10210200</v>
      </c>
      <c r="L57" s="125">
        <f>K57/G57</f>
        <v>36.093067385780145</v>
      </c>
      <c r="N57" s="170"/>
      <c r="P57" s="124">
        <f t="shared" si="0"/>
        <v>0.72186134771560295</v>
      </c>
    </row>
    <row r="58" spans="1:16" s="120" customFormat="1" hidden="1">
      <c r="A58" s="241" t="s">
        <v>139</v>
      </c>
      <c r="B58" s="241" t="s">
        <v>88</v>
      </c>
      <c r="C58" s="241" t="s">
        <v>89</v>
      </c>
      <c r="D58" s="241" t="s">
        <v>140</v>
      </c>
      <c r="E58" s="241">
        <v>68</v>
      </c>
      <c r="F58" s="241">
        <v>3840000</v>
      </c>
      <c r="G58" s="122" t="s">
        <v>0</v>
      </c>
      <c r="H58" s="241">
        <v>0</v>
      </c>
      <c r="I58" s="241" t="s">
        <v>141</v>
      </c>
      <c r="J58" s="241">
        <v>32900000</v>
      </c>
      <c r="K58" s="126" t="s">
        <v>0</v>
      </c>
      <c r="L58" s="125" t="s">
        <v>0</v>
      </c>
      <c r="N58" s="170"/>
      <c r="P58" s="124" t="s">
        <v>0</v>
      </c>
    </row>
    <row r="59" spans="1:16" s="120" customFormat="1">
      <c r="A59" s="241"/>
      <c r="B59" s="241"/>
      <c r="C59" s="241"/>
      <c r="D59" s="241"/>
      <c r="E59" s="241"/>
      <c r="F59" s="241"/>
      <c r="G59" s="122">
        <f>F58*Assumptions!$B$8</f>
        <v>2935891.1999999997</v>
      </c>
      <c r="H59" s="241"/>
      <c r="I59" s="241"/>
      <c r="J59" s="241"/>
      <c r="K59" s="126">
        <f>J58*Assumptions!$B$14</f>
        <v>160881000</v>
      </c>
      <c r="L59" s="125">
        <f>K59/G59</f>
        <v>54.798011588440339</v>
      </c>
      <c r="N59" s="170"/>
      <c r="P59" s="124">
        <f t="shared" si="0"/>
        <v>1.0959602317688069</v>
      </c>
    </row>
    <row r="60" spans="1:16" s="120" customFormat="1" hidden="1">
      <c r="A60" s="241" t="s">
        <v>142</v>
      </c>
      <c r="B60" s="241" t="s">
        <v>96</v>
      </c>
      <c r="C60" s="241" t="s">
        <v>89</v>
      </c>
      <c r="D60" s="241">
        <v>1968</v>
      </c>
      <c r="E60" s="241">
        <v>33</v>
      </c>
      <c r="F60" s="241">
        <v>1500000</v>
      </c>
      <c r="G60" s="122" t="s">
        <v>0</v>
      </c>
      <c r="H60" s="241">
        <v>100</v>
      </c>
      <c r="I60" s="241" t="s">
        <v>92</v>
      </c>
      <c r="J60" s="241">
        <v>500000</v>
      </c>
      <c r="K60" s="126" t="s">
        <v>0</v>
      </c>
      <c r="L60" s="125" t="s">
        <v>0</v>
      </c>
      <c r="N60" s="170"/>
      <c r="P60" s="124" t="s">
        <v>0</v>
      </c>
    </row>
    <row r="61" spans="1:16" s="120" customFormat="1">
      <c r="A61" s="241"/>
      <c r="B61" s="241"/>
      <c r="C61" s="241"/>
      <c r="D61" s="241"/>
      <c r="E61" s="241"/>
      <c r="F61" s="241"/>
      <c r="G61" s="122">
        <f>F60*Assumptions!$B$8</f>
        <v>1146832.5</v>
      </c>
      <c r="H61" s="241"/>
      <c r="I61" s="241"/>
      <c r="J61" s="241"/>
      <c r="K61" s="126">
        <f>J60*Assumptions!$B$14</f>
        <v>2445000</v>
      </c>
      <c r="L61" s="125">
        <f>K61/G61</f>
        <v>2.1319591134712348</v>
      </c>
      <c r="N61" s="170"/>
      <c r="P61" s="124">
        <f t="shared" si="0"/>
        <v>4.2639182269424696E-2</v>
      </c>
    </row>
    <row r="62" spans="1:16" s="120" customFormat="1" hidden="1">
      <c r="A62" s="241" t="s">
        <v>143</v>
      </c>
      <c r="B62" s="241" t="s">
        <v>96</v>
      </c>
      <c r="C62" s="241" t="s">
        <v>89</v>
      </c>
      <c r="D62" s="241">
        <v>1972</v>
      </c>
      <c r="E62" s="241">
        <v>45</v>
      </c>
      <c r="F62" s="241">
        <v>1500000</v>
      </c>
      <c r="G62" s="122" t="s">
        <v>0</v>
      </c>
      <c r="H62" s="241">
        <v>20</v>
      </c>
      <c r="I62" s="241" t="s">
        <v>97</v>
      </c>
      <c r="J62" s="241">
        <v>500000</v>
      </c>
      <c r="K62" s="126" t="s">
        <v>0</v>
      </c>
      <c r="L62" s="125" t="s">
        <v>0</v>
      </c>
      <c r="N62" s="170"/>
      <c r="P62" s="124" t="s">
        <v>0</v>
      </c>
    </row>
    <row r="63" spans="1:16" s="120" customFormat="1">
      <c r="A63" s="241"/>
      <c r="B63" s="241"/>
      <c r="C63" s="241"/>
      <c r="D63" s="241"/>
      <c r="E63" s="241"/>
      <c r="F63" s="241"/>
      <c r="G63" s="122">
        <f>F62*Assumptions!$B$8</f>
        <v>1146832.5</v>
      </c>
      <c r="H63" s="241"/>
      <c r="I63" s="241"/>
      <c r="J63" s="241"/>
      <c r="K63" s="126">
        <f>J62*Assumptions!$B$14</f>
        <v>2445000</v>
      </c>
      <c r="L63" s="125">
        <f>K63/G63</f>
        <v>2.1319591134712348</v>
      </c>
      <c r="N63" s="170"/>
      <c r="P63" s="124">
        <f t="shared" si="0"/>
        <v>4.2639182269424696E-2</v>
      </c>
    </row>
    <row r="64" spans="1:16" s="120" customFormat="1" hidden="1">
      <c r="A64" s="241" t="s">
        <v>144</v>
      </c>
      <c r="B64" s="241" t="s">
        <v>88</v>
      </c>
      <c r="C64" s="241" t="s">
        <v>117</v>
      </c>
      <c r="D64" s="241">
        <v>1977</v>
      </c>
      <c r="E64" s="241">
        <v>150</v>
      </c>
      <c r="F64" s="241">
        <v>5000000</v>
      </c>
      <c r="G64" s="122" t="s">
        <v>0</v>
      </c>
      <c r="H64" s="241">
        <v>92</v>
      </c>
      <c r="I64" s="241" t="s">
        <v>145</v>
      </c>
      <c r="J64" s="241">
        <v>5000000</v>
      </c>
      <c r="K64" s="126" t="s">
        <v>0</v>
      </c>
      <c r="L64" s="125" t="s">
        <v>0</v>
      </c>
      <c r="N64" s="170"/>
      <c r="P64" s="124" t="s">
        <v>0</v>
      </c>
    </row>
    <row r="65" spans="1:16" s="120" customFormat="1">
      <c r="A65" s="241"/>
      <c r="B65" s="241"/>
      <c r="C65" s="241"/>
      <c r="D65" s="241"/>
      <c r="E65" s="241"/>
      <c r="F65" s="241"/>
      <c r="G65" s="122">
        <f>F64*Assumptions!$B$8</f>
        <v>3822775</v>
      </c>
      <c r="H65" s="241"/>
      <c r="I65" s="241"/>
      <c r="J65" s="241"/>
      <c r="K65" s="126">
        <f>J64*Assumptions!$B$14</f>
        <v>24450000</v>
      </c>
      <c r="L65" s="125">
        <f>K65/G65</f>
        <v>6.3958773404137048</v>
      </c>
      <c r="N65" s="170"/>
      <c r="P65" s="124">
        <f t="shared" ref="P65:P69" si="1">L65/$M$3</f>
        <v>0.12791754680827411</v>
      </c>
    </row>
    <row r="66" spans="1:16" s="120" customFormat="1" hidden="1">
      <c r="A66" s="241" t="s">
        <v>146</v>
      </c>
      <c r="B66" s="241" t="s">
        <v>88</v>
      </c>
      <c r="C66" s="241" t="s">
        <v>89</v>
      </c>
      <c r="D66" s="241">
        <v>1994</v>
      </c>
      <c r="E66" s="241">
        <v>155</v>
      </c>
      <c r="F66" s="241">
        <v>5300000</v>
      </c>
      <c r="G66" s="122" t="s">
        <v>0</v>
      </c>
      <c r="H66" s="241">
        <v>0</v>
      </c>
      <c r="I66" s="241"/>
      <c r="J66" s="241">
        <v>4800000</v>
      </c>
      <c r="K66" s="126" t="s">
        <v>0</v>
      </c>
      <c r="L66" s="125" t="s">
        <v>0</v>
      </c>
      <c r="N66" s="170"/>
      <c r="P66" s="124" t="s">
        <v>0</v>
      </c>
    </row>
    <row r="67" spans="1:16" s="120" customFormat="1">
      <c r="A67" s="241"/>
      <c r="B67" s="241"/>
      <c r="C67" s="241"/>
      <c r="D67" s="241"/>
      <c r="E67" s="241"/>
      <c r="F67" s="241"/>
      <c r="G67" s="122">
        <f>F66*Assumptions!$B$8</f>
        <v>4052141.5</v>
      </c>
      <c r="H67" s="241"/>
      <c r="I67" s="241"/>
      <c r="J67" s="241"/>
      <c r="K67" s="126">
        <f>J66*Assumptions!$B$14</f>
        <v>23472000</v>
      </c>
      <c r="L67" s="125">
        <f>K67/G67</f>
        <v>5.7924926856576953</v>
      </c>
      <c r="N67" s="170"/>
      <c r="P67" s="124">
        <f t="shared" si="1"/>
        <v>0.1158498537131539</v>
      </c>
    </row>
    <row r="68" spans="1:16" s="120" customFormat="1" hidden="1">
      <c r="A68" s="241" t="s">
        <v>147</v>
      </c>
      <c r="B68" s="241" t="s">
        <v>111</v>
      </c>
      <c r="C68" s="241" t="s">
        <v>117</v>
      </c>
      <c r="D68" s="241">
        <v>1960</v>
      </c>
      <c r="E68" s="241">
        <v>80</v>
      </c>
      <c r="F68" s="241">
        <v>4320000</v>
      </c>
      <c r="G68" s="122" t="s">
        <v>0</v>
      </c>
      <c r="H68" s="241">
        <v>100</v>
      </c>
      <c r="I68" s="241" t="s">
        <v>97</v>
      </c>
      <c r="J68" s="241">
        <v>747150</v>
      </c>
      <c r="K68" s="126" t="s">
        <v>0</v>
      </c>
      <c r="L68" s="125" t="s">
        <v>0</v>
      </c>
      <c r="N68" s="170"/>
      <c r="P68" s="124" t="s">
        <v>0</v>
      </c>
    </row>
    <row r="69" spans="1:16" s="120" customFormat="1">
      <c r="A69" s="241"/>
      <c r="B69" s="241"/>
      <c r="C69" s="241"/>
      <c r="D69" s="241"/>
      <c r="E69" s="241"/>
      <c r="F69" s="241"/>
      <c r="G69" s="122">
        <f>F68*Assumptions!$B$8</f>
        <v>3302877.6</v>
      </c>
      <c r="H69" s="241"/>
      <c r="I69" s="241"/>
      <c r="J69" s="241"/>
      <c r="K69" s="126">
        <f>J68*Assumptions!$B$14</f>
        <v>3653563.4999999995</v>
      </c>
      <c r="L69" s="125">
        <f>K69/G69</f>
        <v>1.1061758691875228</v>
      </c>
      <c r="N69" s="170"/>
      <c r="P69" s="124">
        <f t="shared" si="1"/>
        <v>2.2123517383750454E-2</v>
      </c>
    </row>
    <row r="70" spans="1:16" s="120" customFormat="1" hidden="1">
      <c r="G70" s="119"/>
      <c r="K70" s="126"/>
      <c r="L70" s="125"/>
      <c r="N70" s="170"/>
      <c r="P70" s="124"/>
    </row>
    <row r="71" spans="1:16" s="120" customFormat="1">
      <c r="A71" s="120" t="s">
        <v>28</v>
      </c>
      <c r="G71" s="122">
        <v>150000000</v>
      </c>
      <c r="K71" s="126">
        <v>177348309</v>
      </c>
      <c r="L71" s="125">
        <f>K71/G71</f>
        <v>1.18232206</v>
      </c>
      <c r="M71" s="123">
        <v>9000000</v>
      </c>
      <c r="N71" s="123"/>
      <c r="O71" s="138">
        <f>M71/(G71)</f>
        <v>0.06</v>
      </c>
      <c r="P71" s="124">
        <f>L71/50</f>
        <v>2.36464412E-2</v>
      </c>
    </row>
    <row r="72" spans="1:16" s="119" customFormat="1">
      <c r="A72" s="119" t="s">
        <v>156</v>
      </c>
      <c r="L72" s="128">
        <f>MEDIAN(L3:L71)</f>
        <v>18.557590372782453</v>
      </c>
      <c r="P72" s="127">
        <f>MEDIAN(P3:P71)</f>
        <v>0.37115180745564907</v>
      </c>
    </row>
  </sheetData>
  <mergeCells count="306">
    <mergeCell ref="I68:I69"/>
    <mergeCell ref="J68:J69"/>
    <mergeCell ref="A68:A69"/>
    <mergeCell ref="B68:B69"/>
    <mergeCell ref="C68:C69"/>
    <mergeCell ref="D68:D69"/>
    <mergeCell ref="E68:E69"/>
    <mergeCell ref="F68:F69"/>
    <mergeCell ref="H68:H69"/>
    <mergeCell ref="A64:A65"/>
    <mergeCell ref="B64:B65"/>
    <mergeCell ref="C64:C65"/>
    <mergeCell ref="D64:D65"/>
    <mergeCell ref="E64:E65"/>
    <mergeCell ref="F64:F65"/>
    <mergeCell ref="H64:H65"/>
    <mergeCell ref="J66:J67"/>
    <mergeCell ref="I64:I65"/>
    <mergeCell ref="J64:J65"/>
    <mergeCell ref="A66:A67"/>
    <mergeCell ref="B66:B67"/>
    <mergeCell ref="C66:C67"/>
    <mergeCell ref="D66:D67"/>
    <mergeCell ref="E66:E67"/>
    <mergeCell ref="F66:F67"/>
    <mergeCell ref="H66:H67"/>
    <mergeCell ref="I66:I67"/>
    <mergeCell ref="A62:A63"/>
    <mergeCell ref="B62:B63"/>
    <mergeCell ref="C62:C63"/>
    <mergeCell ref="D62:D63"/>
    <mergeCell ref="E62:E63"/>
    <mergeCell ref="F62:F63"/>
    <mergeCell ref="H62:H63"/>
    <mergeCell ref="I62:I63"/>
    <mergeCell ref="J62:J63"/>
    <mergeCell ref="E58:E59"/>
    <mergeCell ref="F58:F59"/>
    <mergeCell ref="H58:H59"/>
    <mergeCell ref="I58:I59"/>
    <mergeCell ref="J58:J59"/>
    <mergeCell ref="A60:A61"/>
    <mergeCell ref="B60:B61"/>
    <mergeCell ref="C60:C61"/>
    <mergeCell ref="D60:D61"/>
    <mergeCell ref="E60:E61"/>
    <mergeCell ref="A58:A59"/>
    <mergeCell ref="B58:B59"/>
    <mergeCell ref="C58:C59"/>
    <mergeCell ref="D58:D59"/>
    <mergeCell ref="F60:F61"/>
    <mergeCell ref="H60:H61"/>
    <mergeCell ref="I60:I61"/>
    <mergeCell ref="J60:J61"/>
    <mergeCell ref="A56:A57"/>
    <mergeCell ref="B56:B57"/>
    <mergeCell ref="C56:C57"/>
    <mergeCell ref="D56:D57"/>
    <mergeCell ref="E56:E57"/>
    <mergeCell ref="F56:F57"/>
    <mergeCell ref="H56:H57"/>
    <mergeCell ref="I56:I57"/>
    <mergeCell ref="J56:J57"/>
    <mergeCell ref="A54:A55"/>
    <mergeCell ref="B54:B55"/>
    <mergeCell ref="C54:C55"/>
    <mergeCell ref="D54:D55"/>
    <mergeCell ref="E54:E55"/>
    <mergeCell ref="F54:F55"/>
    <mergeCell ref="H54:H55"/>
    <mergeCell ref="I54:I55"/>
    <mergeCell ref="J54:J55"/>
    <mergeCell ref="H50:H51"/>
    <mergeCell ref="I50:I51"/>
    <mergeCell ref="J50:J51"/>
    <mergeCell ref="A52:A53"/>
    <mergeCell ref="B52:B53"/>
    <mergeCell ref="C52:C53"/>
    <mergeCell ref="D52:D53"/>
    <mergeCell ref="E52:E53"/>
    <mergeCell ref="F52:F53"/>
    <mergeCell ref="H52:H53"/>
    <mergeCell ref="A50:A51"/>
    <mergeCell ref="B50:B51"/>
    <mergeCell ref="C50:C51"/>
    <mergeCell ref="D50:D51"/>
    <mergeCell ref="E50:E51"/>
    <mergeCell ref="F50:F51"/>
    <mergeCell ref="I52:I53"/>
    <mergeCell ref="J52:J53"/>
    <mergeCell ref="A48:A49"/>
    <mergeCell ref="B48:B49"/>
    <mergeCell ref="C48:C49"/>
    <mergeCell ref="D48:D49"/>
    <mergeCell ref="E48:E49"/>
    <mergeCell ref="F48:F49"/>
    <mergeCell ref="H48:H49"/>
    <mergeCell ref="I48:I49"/>
    <mergeCell ref="J48:J49"/>
    <mergeCell ref="A46:A47"/>
    <mergeCell ref="B46:B47"/>
    <mergeCell ref="C46:C47"/>
    <mergeCell ref="D46:D47"/>
    <mergeCell ref="E46:E47"/>
    <mergeCell ref="F46:F47"/>
    <mergeCell ref="H46:H47"/>
    <mergeCell ref="I46:I47"/>
    <mergeCell ref="J46:J47"/>
    <mergeCell ref="H42:H43"/>
    <mergeCell ref="I42:I43"/>
    <mergeCell ref="J42:J43"/>
    <mergeCell ref="A44:A45"/>
    <mergeCell ref="B44:B45"/>
    <mergeCell ref="C44:C45"/>
    <mergeCell ref="D44:D45"/>
    <mergeCell ref="E44:E45"/>
    <mergeCell ref="F44:F45"/>
    <mergeCell ref="H44:H45"/>
    <mergeCell ref="A42:A43"/>
    <mergeCell ref="B42:B43"/>
    <mergeCell ref="C42:C43"/>
    <mergeCell ref="D42:D43"/>
    <mergeCell ref="E42:E43"/>
    <mergeCell ref="F42:F43"/>
    <mergeCell ref="I44:I45"/>
    <mergeCell ref="J44:J45"/>
    <mergeCell ref="A40:A41"/>
    <mergeCell ref="B40:B41"/>
    <mergeCell ref="C40:C41"/>
    <mergeCell ref="D40:D41"/>
    <mergeCell ref="E40:E41"/>
    <mergeCell ref="F40:F41"/>
    <mergeCell ref="H40:H41"/>
    <mergeCell ref="I40:I41"/>
    <mergeCell ref="J40:J41"/>
    <mergeCell ref="A38:A39"/>
    <mergeCell ref="B38:B39"/>
    <mergeCell ref="C38:C39"/>
    <mergeCell ref="D38:D39"/>
    <mergeCell ref="E38:E39"/>
    <mergeCell ref="F38:F39"/>
    <mergeCell ref="H38:H39"/>
    <mergeCell ref="I38:I39"/>
    <mergeCell ref="J38:J39"/>
    <mergeCell ref="H34:H35"/>
    <mergeCell ref="I34:I35"/>
    <mergeCell ref="J34:J35"/>
    <mergeCell ref="A36:A37"/>
    <mergeCell ref="B36:B37"/>
    <mergeCell ref="C36:C37"/>
    <mergeCell ref="D36:D37"/>
    <mergeCell ref="E36:E37"/>
    <mergeCell ref="F36:F37"/>
    <mergeCell ref="H36:H37"/>
    <mergeCell ref="A34:A35"/>
    <mergeCell ref="B34:B35"/>
    <mergeCell ref="C34:C35"/>
    <mergeCell ref="D34:D35"/>
    <mergeCell ref="E34:E35"/>
    <mergeCell ref="F34:F35"/>
    <mergeCell ref="I36:I37"/>
    <mergeCell ref="J36:J37"/>
    <mergeCell ref="A32:A33"/>
    <mergeCell ref="B32:B33"/>
    <mergeCell ref="C32:C33"/>
    <mergeCell ref="D32:D33"/>
    <mergeCell ref="E32:E33"/>
    <mergeCell ref="F32:F33"/>
    <mergeCell ref="H32:H33"/>
    <mergeCell ref="I32:I33"/>
    <mergeCell ref="J32:J33"/>
    <mergeCell ref="A30:A31"/>
    <mergeCell ref="B30:B31"/>
    <mergeCell ref="C30:C31"/>
    <mergeCell ref="D30:D31"/>
    <mergeCell ref="E30:E31"/>
    <mergeCell ref="F30:F31"/>
    <mergeCell ref="H30:H31"/>
    <mergeCell ref="I30:I31"/>
    <mergeCell ref="J30:J31"/>
    <mergeCell ref="H26:H27"/>
    <mergeCell ref="I26:I27"/>
    <mergeCell ref="J26:J27"/>
    <mergeCell ref="A28:A29"/>
    <mergeCell ref="B28:B29"/>
    <mergeCell ref="C28:C29"/>
    <mergeCell ref="D28:D29"/>
    <mergeCell ref="E28:E29"/>
    <mergeCell ref="F28:F29"/>
    <mergeCell ref="H28:H29"/>
    <mergeCell ref="A26:A27"/>
    <mergeCell ref="B26:B27"/>
    <mergeCell ref="C26:C27"/>
    <mergeCell ref="D26:D27"/>
    <mergeCell ref="E26:E27"/>
    <mergeCell ref="F26:F27"/>
    <mergeCell ref="I28:I29"/>
    <mergeCell ref="J28:J29"/>
    <mergeCell ref="A24:A25"/>
    <mergeCell ref="B24:B25"/>
    <mergeCell ref="C24:C25"/>
    <mergeCell ref="D24:D25"/>
    <mergeCell ref="E24:E25"/>
    <mergeCell ref="F24:F25"/>
    <mergeCell ref="H24:H25"/>
    <mergeCell ref="I24:I25"/>
    <mergeCell ref="J24:J25"/>
    <mergeCell ref="A22:A23"/>
    <mergeCell ref="B22:B23"/>
    <mergeCell ref="C22:C23"/>
    <mergeCell ref="D22:D23"/>
    <mergeCell ref="E22:E23"/>
    <mergeCell ref="F22:F23"/>
    <mergeCell ref="H22:H23"/>
    <mergeCell ref="I22:I23"/>
    <mergeCell ref="J22:J23"/>
    <mergeCell ref="H18:H19"/>
    <mergeCell ref="I18:I19"/>
    <mergeCell ref="J18:J19"/>
    <mergeCell ref="A20:A21"/>
    <mergeCell ref="B20:B21"/>
    <mergeCell ref="C20:C21"/>
    <mergeCell ref="D20:D21"/>
    <mergeCell ref="E20:E21"/>
    <mergeCell ref="F20:F21"/>
    <mergeCell ref="H20:H21"/>
    <mergeCell ref="A18:A19"/>
    <mergeCell ref="B18:B19"/>
    <mergeCell ref="C18:C19"/>
    <mergeCell ref="D18:D19"/>
    <mergeCell ref="E18:E19"/>
    <mergeCell ref="F18:F19"/>
    <mergeCell ref="I20:I21"/>
    <mergeCell ref="J20:J21"/>
    <mergeCell ref="A16:A17"/>
    <mergeCell ref="B16:B17"/>
    <mergeCell ref="C16:C17"/>
    <mergeCell ref="D16:D17"/>
    <mergeCell ref="E16:E17"/>
    <mergeCell ref="F16:F17"/>
    <mergeCell ref="H16:H17"/>
    <mergeCell ref="I16:I17"/>
    <mergeCell ref="J16:J17"/>
    <mergeCell ref="A14:A15"/>
    <mergeCell ref="B14:B15"/>
    <mergeCell ref="C14:C15"/>
    <mergeCell ref="D14:D15"/>
    <mergeCell ref="E14:E15"/>
    <mergeCell ref="F14:F15"/>
    <mergeCell ref="H14:H15"/>
    <mergeCell ref="I14:I15"/>
    <mergeCell ref="J14:J15"/>
    <mergeCell ref="H10:H11"/>
    <mergeCell ref="I10:I11"/>
    <mergeCell ref="J10:J11"/>
    <mergeCell ref="A12:A13"/>
    <mergeCell ref="B12:B13"/>
    <mergeCell ref="C12:C13"/>
    <mergeCell ref="D12:D13"/>
    <mergeCell ref="E12:E13"/>
    <mergeCell ref="F12:F13"/>
    <mergeCell ref="H12:H13"/>
    <mergeCell ref="A10:A11"/>
    <mergeCell ref="B10:B11"/>
    <mergeCell ref="C10:C11"/>
    <mergeCell ref="D10:D11"/>
    <mergeCell ref="E10:E11"/>
    <mergeCell ref="F10:F11"/>
    <mergeCell ref="I12:I13"/>
    <mergeCell ref="J12:J13"/>
    <mergeCell ref="A8:A9"/>
    <mergeCell ref="B8:B9"/>
    <mergeCell ref="C8:C9"/>
    <mergeCell ref="D8:D9"/>
    <mergeCell ref="E8:E9"/>
    <mergeCell ref="F8:F9"/>
    <mergeCell ref="H8:H9"/>
    <mergeCell ref="I8:I9"/>
    <mergeCell ref="J8:J9"/>
    <mergeCell ref="A6:A7"/>
    <mergeCell ref="B6:B7"/>
    <mergeCell ref="C6:C7"/>
    <mergeCell ref="D6:D7"/>
    <mergeCell ref="E6:E7"/>
    <mergeCell ref="F6:F7"/>
    <mergeCell ref="H6:H7"/>
    <mergeCell ref="I6:I7"/>
    <mergeCell ref="J6:J7"/>
    <mergeCell ref="H2:H3"/>
    <mergeCell ref="I2:I3"/>
    <mergeCell ref="J2:J3"/>
    <mergeCell ref="A4:A5"/>
    <mergeCell ref="B4:B5"/>
    <mergeCell ref="C4:C5"/>
    <mergeCell ref="D4:D5"/>
    <mergeCell ref="E4:E5"/>
    <mergeCell ref="F4:F5"/>
    <mergeCell ref="H4:H5"/>
    <mergeCell ref="A2:A3"/>
    <mergeCell ref="B2:B3"/>
    <mergeCell ref="C2:C3"/>
    <mergeCell ref="D2:D3"/>
    <mergeCell ref="E2:E3"/>
    <mergeCell ref="F2:F3"/>
    <mergeCell ref="I4:I5"/>
    <mergeCell ref="J4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0691-5654-4442-87DF-4246D87F7065}">
  <dimension ref="A1:J9"/>
  <sheetViews>
    <sheetView workbookViewId="0">
      <selection activeCell="M37" sqref="M37"/>
    </sheetView>
  </sheetViews>
  <sheetFormatPr defaultColWidth="10.83203125" defaultRowHeight="12"/>
  <cols>
    <col min="1" max="1" width="2.83203125" style="233" customWidth="1"/>
    <col min="2" max="2" width="10.33203125" style="233" customWidth="1"/>
    <col min="3" max="3" width="12.1640625" style="233" customWidth="1"/>
    <col min="4" max="4" width="11.83203125" style="233" customWidth="1"/>
    <col min="5" max="5" width="13.6640625" style="233" customWidth="1"/>
    <col min="6" max="6" width="9.5" style="233" customWidth="1"/>
    <col min="7" max="7" width="8.1640625" style="233" customWidth="1"/>
    <col min="8" max="8" width="10.33203125" style="233" customWidth="1"/>
    <col min="9" max="9" width="9.5" style="233" customWidth="1"/>
    <col min="10" max="10" width="10" style="233" customWidth="1"/>
    <col min="11" max="11" width="13" style="233" customWidth="1"/>
    <col min="12" max="16384" width="10.83203125" style="233"/>
  </cols>
  <sheetData>
    <row r="1" spans="1:10" s="226" customFormat="1" ht="48">
      <c r="A1" s="223"/>
      <c r="B1" s="223"/>
      <c r="C1" s="224" t="s">
        <v>231</v>
      </c>
      <c r="D1" s="224" t="s">
        <v>232</v>
      </c>
      <c r="E1" s="224" t="s">
        <v>233</v>
      </c>
      <c r="F1" s="224" t="s">
        <v>234</v>
      </c>
      <c r="G1" s="224" t="s">
        <v>235</v>
      </c>
      <c r="H1" s="224" t="s">
        <v>236</v>
      </c>
      <c r="I1" s="224" t="s">
        <v>237</v>
      </c>
      <c r="J1" s="225" t="s">
        <v>238</v>
      </c>
    </row>
    <row r="2" spans="1:10">
      <c r="A2" s="227"/>
      <c r="B2" s="227" t="s">
        <v>239</v>
      </c>
      <c r="C2" s="228">
        <v>6837</v>
      </c>
      <c r="D2" s="227">
        <v>0.51</v>
      </c>
      <c r="E2" s="229">
        <f>D2*D7</f>
        <v>0.2142</v>
      </c>
      <c r="F2" s="230">
        <f>D2*C2</f>
        <v>3486.87</v>
      </c>
      <c r="G2" s="230">
        <f>$D$7*F2</f>
        <v>1464.4853999999998</v>
      </c>
      <c r="H2" s="231">
        <f>$D$6*(E2)</f>
        <v>0.43910999999999994</v>
      </c>
      <c r="I2" s="229">
        <f>$D$8</f>
        <v>4.8000000000000001E-2</v>
      </c>
      <c r="J2" s="232">
        <f>H2-I2</f>
        <v>0.39110999999999996</v>
      </c>
    </row>
    <row r="3" spans="1:10">
      <c r="A3" s="227"/>
      <c r="B3" s="227" t="s">
        <v>240</v>
      </c>
      <c r="C3" s="227">
        <v>3247</v>
      </c>
      <c r="D3" s="227">
        <v>1.41</v>
      </c>
      <c r="E3" s="229">
        <f>D3*D7</f>
        <v>0.59219999999999995</v>
      </c>
      <c r="F3" s="230">
        <f>D3*C3</f>
        <v>4578.2699999999995</v>
      </c>
      <c r="G3" s="230">
        <f>$D$7*F3</f>
        <v>1922.8733999999997</v>
      </c>
      <c r="H3" s="231">
        <f>$D$6*(E3)</f>
        <v>1.2140099999999998</v>
      </c>
      <c r="I3" s="229">
        <f>$D$8</f>
        <v>4.8000000000000001E-2</v>
      </c>
      <c r="J3" s="232">
        <f>H3-I3</f>
        <v>1.1660099999999998</v>
      </c>
    </row>
    <row r="5" spans="1:10" s="227" customFormat="1">
      <c r="D5" s="227" t="s">
        <v>0</v>
      </c>
      <c r="E5" s="227" t="s">
        <v>241</v>
      </c>
    </row>
    <row r="6" spans="1:10" s="227" customFormat="1">
      <c r="B6" s="234" t="s">
        <v>242</v>
      </c>
      <c r="C6" s="227" t="s">
        <v>243</v>
      </c>
      <c r="D6" s="227">
        <v>2.0499999999999998</v>
      </c>
      <c r="E6" s="227" t="s">
        <v>244</v>
      </c>
    </row>
    <row r="7" spans="1:10" s="227" customFormat="1">
      <c r="B7" s="227" t="s">
        <v>245</v>
      </c>
      <c r="D7" s="235">
        <v>0.42</v>
      </c>
      <c r="E7" s="227" t="s">
        <v>246</v>
      </c>
    </row>
    <row r="8" spans="1:10" s="227" customFormat="1">
      <c r="B8" s="227" t="s">
        <v>247</v>
      </c>
      <c r="C8" s="227" t="s">
        <v>248</v>
      </c>
      <c r="D8" s="227">
        <v>4.8000000000000001E-2</v>
      </c>
      <c r="E8" s="227" t="s">
        <v>249</v>
      </c>
    </row>
    <row r="9" spans="1:10">
      <c r="A9" s="233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Profit and Loss - sand and clay</vt:lpstr>
      <vt:lpstr>Total cost dredging &amp; disposal </vt:lpstr>
      <vt:lpstr>Assumptions</vt:lpstr>
      <vt:lpstr>Disposal facilities</vt:lpstr>
      <vt:lpstr>Benefits from irrigation</vt:lpstr>
      <vt:lpstr>dredging</vt:lpstr>
      <vt:lpstr>maxproc</vt:lpstr>
      <vt:lpstr>Price</vt:lpstr>
      <vt:lpstr>S_Price</vt:lpstr>
      <vt:lpstr>Yield</vt:lpstr>
      <vt:lpstr>Assumptions!Область_печати</vt:lpstr>
      <vt:lpstr>'Profit and Loss - sand and clay'!Область_печати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Westerberg</dc:creator>
  <cp:lastModifiedBy>Aksulu</cp:lastModifiedBy>
  <cp:lastPrinted>2019-08-03T21:32:17Z</cp:lastPrinted>
  <dcterms:created xsi:type="dcterms:W3CDTF">2019-04-07T17:11:31Z</dcterms:created>
  <dcterms:modified xsi:type="dcterms:W3CDTF">2022-11-07T05:36:36Z</dcterms:modified>
</cp:coreProperties>
</file>